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lamil-my.dps.mil/personal/michael_1_wood_dla_mil/Documents/Desktop/FYQ4/"/>
    </mc:Choice>
  </mc:AlternateContent>
  <xr:revisionPtr revIDLastSave="10" documentId="8_{A8DFAEC5-3648-408E-BDBA-4A947FAE967B}" xr6:coauthVersionLast="47" xr6:coauthVersionMax="47" xr10:uidLastSave="{C4168E85-6B9E-48E3-8975-DC77A59054C6}"/>
  <bookViews>
    <workbookView xWindow="-28920" yWindow="90" windowWidth="29040" windowHeight="15510" xr2:uid="{40B26EEE-9F7B-4D09-BE0E-25EC246F58BC}"/>
  </bookViews>
  <sheets>
    <sheet name="LESO ALL SHIPMENTS" sheetId="1" r:id="rId1"/>
    <sheet name="LESO CANCELLATIONS" sheetId="2" r:id="rId2"/>
  </sheets>
  <definedNames>
    <definedName name="_xlnm._FilterDatabase" localSheetId="0" hidden="1">'LESO ALL SHIPMENTS'!$A$1:$K$1</definedName>
    <definedName name="_xlnm._FilterDatabase" localSheetId="1" hidden="1">'LESO CANCELLATIONS'!$A$1:$N$1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2" l="1"/>
  <c r="F2" i="2"/>
  <c r="I2" i="2"/>
  <c r="J2" i="2"/>
  <c r="E3" i="2"/>
  <c r="F3" i="2"/>
  <c r="I3" i="2"/>
  <c r="J3" i="2"/>
  <c r="E4" i="2"/>
  <c r="F4" i="2"/>
  <c r="I4" i="2"/>
  <c r="J4" i="2"/>
  <c r="E5" i="2"/>
  <c r="F5" i="2"/>
  <c r="I5" i="2"/>
  <c r="J5" i="2"/>
  <c r="E6" i="2"/>
  <c r="F6" i="2"/>
  <c r="I6" i="2"/>
  <c r="J6" i="2"/>
  <c r="E7" i="2"/>
  <c r="F7" i="2"/>
  <c r="I7" i="2"/>
  <c r="J7" i="2"/>
  <c r="E8" i="2"/>
  <c r="F8" i="2"/>
  <c r="I8" i="2"/>
  <c r="J8" i="2"/>
  <c r="E9" i="2"/>
  <c r="F9" i="2"/>
  <c r="I9" i="2"/>
  <c r="E10" i="2"/>
  <c r="F10" i="2"/>
  <c r="I10" i="2"/>
  <c r="J10" i="2"/>
  <c r="E11" i="2"/>
  <c r="F11" i="2"/>
  <c r="I11" i="2"/>
  <c r="J11" i="2"/>
  <c r="E12" i="2"/>
  <c r="F12" i="2"/>
  <c r="I12" i="2"/>
  <c r="J12" i="2"/>
  <c r="E13" i="2"/>
  <c r="F13" i="2"/>
  <c r="I13" i="2"/>
  <c r="J13" i="2"/>
  <c r="E14" i="2"/>
  <c r="I14" i="2"/>
  <c r="J14" i="2"/>
  <c r="E15" i="2"/>
  <c r="F15" i="2"/>
  <c r="I15" i="2"/>
  <c r="J15" i="2"/>
  <c r="E16" i="2"/>
  <c r="I16" i="2"/>
  <c r="E17" i="2"/>
  <c r="I17" i="2"/>
  <c r="J17" i="2"/>
  <c r="E18" i="2"/>
  <c r="F18" i="2"/>
  <c r="I18" i="2"/>
  <c r="E19" i="2"/>
  <c r="I19" i="2"/>
  <c r="J19" i="2"/>
  <c r="E20" i="2"/>
  <c r="I20" i="2"/>
  <c r="J20" i="2"/>
  <c r="E21" i="2"/>
  <c r="F21" i="2"/>
  <c r="I21" i="2"/>
  <c r="J21" i="2"/>
  <c r="E22" i="2"/>
  <c r="F22" i="2"/>
  <c r="I22" i="2"/>
  <c r="J22" i="2"/>
  <c r="E23" i="2"/>
  <c r="I23" i="2"/>
  <c r="J23" i="2"/>
  <c r="E24" i="2"/>
  <c r="F24" i="2"/>
  <c r="I24" i="2"/>
  <c r="J24" i="2"/>
  <c r="E25" i="2"/>
  <c r="F25" i="2"/>
  <c r="I25" i="2"/>
  <c r="J25" i="2"/>
  <c r="E26" i="2"/>
  <c r="F26" i="2"/>
  <c r="I26" i="2"/>
  <c r="E27" i="2"/>
  <c r="F27" i="2"/>
  <c r="I27" i="2"/>
  <c r="E28" i="2"/>
  <c r="F28" i="2"/>
  <c r="I28" i="2"/>
  <c r="E29" i="2"/>
  <c r="I29" i="2"/>
  <c r="J29" i="2"/>
  <c r="E30" i="2"/>
  <c r="F30" i="2"/>
  <c r="I30" i="2"/>
  <c r="E31" i="2"/>
  <c r="I31" i="2"/>
  <c r="J31" i="2"/>
  <c r="E32" i="2"/>
  <c r="I32" i="2"/>
  <c r="J32" i="2"/>
  <c r="E33" i="2"/>
  <c r="F33" i="2"/>
  <c r="I33" i="2"/>
  <c r="J33" i="2"/>
  <c r="E34" i="2"/>
  <c r="F34" i="2"/>
  <c r="I34" i="2"/>
  <c r="E35" i="2"/>
  <c r="I35" i="2"/>
  <c r="J35" i="2"/>
  <c r="E36" i="2"/>
  <c r="F36" i="2"/>
  <c r="I36" i="2"/>
  <c r="E37" i="2"/>
  <c r="F37" i="2"/>
  <c r="I37" i="2"/>
  <c r="J37" i="2"/>
  <c r="E38" i="2"/>
  <c r="I38" i="2"/>
  <c r="J38" i="2"/>
  <c r="E39" i="2"/>
  <c r="F39" i="2"/>
  <c r="I39" i="2"/>
  <c r="J39" i="2"/>
  <c r="E40" i="2"/>
  <c r="F40" i="2"/>
  <c r="I40" i="2"/>
  <c r="J40" i="2"/>
  <c r="E41" i="2"/>
  <c r="F41" i="2"/>
  <c r="I41" i="2"/>
  <c r="E42" i="2"/>
  <c r="F42" i="2"/>
  <c r="I42" i="2"/>
  <c r="J42" i="2"/>
  <c r="E43" i="2"/>
  <c r="I43" i="2"/>
  <c r="J43" i="2"/>
  <c r="E44" i="2"/>
  <c r="F44" i="2"/>
  <c r="I44" i="2"/>
  <c r="E45" i="2"/>
  <c r="F45" i="2"/>
  <c r="I45" i="2"/>
  <c r="E46" i="2"/>
  <c r="I46" i="2"/>
  <c r="J46" i="2"/>
  <c r="E47" i="2"/>
  <c r="I47" i="2"/>
  <c r="J47" i="2"/>
  <c r="E48" i="2"/>
  <c r="F48" i="2"/>
  <c r="I48" i="2"/>
  <c r="J48" i="2"/>
  <c r="E49" i="2"/>
  <c r="I49" i="2"/>
  <c r="E50" i="2"/>
  <c r="I50" i="2"/>
  <c r="J50" i="2"/>
  <c r="E51" i="2"/>
  <c r="F51" i="2"/>
  <c r="I51" i="2"/>
  <c r="E52" i="2"/>
  <c r="I52" i="2"/>
  <c r="E53" i="2"/>
  <c r="I53" i="2"/>
  <c r="J53" i="2"/>
  <c r="E54" i="2"/>
  <c r="F54" i="2"/>
  <c r="I54" i="2"/>
  <c r="J54" i="2"/>
  <c r="E55" i="2"/>
  <c r="I55" i="2"/>
  <c r="J55" i="2"/>
  <c r="E56" i="2"/>
  <c r="F56" i="2"/>
  <c r="I56" i="2"/>
  <c r="J56" i="2"/>
  <c r="E57" i="2"/>
  <c r="F57" i="2"/>
  <c r="I57" i="2"/>
  <c r="J57" i="2"/>
  <c r="E58" i="2"/>
  <c r="F58" i="2"/>
  <c r="I58" i="2"/>
  <c r="J58" i="2"/>
  <c r="E59" i="2"/>
  <c r="F59" i="2"/>
  <c r="I59" i="2"/>
  <c r="J59" i="2"/>
  <c r="E60" i="2"/>
  <c r="I60" i="2"/>
  <c r="J60" i="2"/>
  <c r="E61" i="2"/>
  <c r="I61" i="2"/>
  <c r="J61" i="2"/>
  <c r="E62" i="2"/>
  <c r="F62" i="2"/>
  <c r="I62" i="2"/>
  <c r="J62" i="2"/>
  <c r="E63" i="2"/>
  <c r="F63" i="2"/>
  <c r="I63" i="2"/>
  <c r="E64" i="2"/>
  <c r="F64" i="2"/>
  <c r="I64" i="2"/>
  <c r="E65" i="2"/>
  <c r="F65" i="2"/>
  <c r="I65" i="2"/>
  <c r="J65" i="2"/>
  <c r="E66" i="2"/>
  <c r="F66" i="2"/>
  <c r="I66" i="2"/>
  <c r="E67" i="2"/>
  <c r="I67" i="2"/>
  <c r="J67" i="2"/>
  <c r="E68" i="2"/>
  <c r="F68" i="2"/>
  <c r="I68" i="2"/>
  <c r="J68" i="2"/>
  <c r="E69" i="2"/>
  <c r="F69" i="2"/>
  <c r="I69" i="2"/>
  <c r="E70" i="2"/>
  <c r="F70" i="2"/>
  <c r="I70" i="2"/>
  <c r="J70" i="2"/>
  <c r="E71" i="2"/>
  <c r="I71" i="2"/>
  <c r="J71" i="2"/>
  <c r="E72" i="2"/>
  <c r="F72" i="2"/>
  <c r="I72" i="2"/>
  <c r="J72" i="2"/>
  <c r="E73" i="2"/>
  <c r="F73" i="2"/>
  <c r="I73" i="2"/>
  <c r="E74" i="2"/>
  <c r="F74" i="2"/>
  <c r="I74" i="2"/>
  <c r="E75" i="2"/>
  <c r="F75" i="2"/>
  <c r="I75" i="2"/>
  <c r="J75" i="2"/>
  <c r="E76" i="2"/>
  <c r="F76" i="2"/>
  <c r="I76" i="2"/>
  <c r="J76" i="2"/>
  <c r="E77" i="2"/>
  <c r="F77" i="2"/>
  <c r="I77" i="2"/>
  <c r="J77" i="2"/>
  <c r="E78" i="2"/>
  <c r="F78" i="2"/>
  <c r="I78" i="2"/>
  <c r="J78" i="2"/>
  <c r="E79" i="2"/>
  <c r="F79" i="2"/>
  <c r="I79" i="2"/>
  <c r="J79" i="2"/>
  <c r="E80" i="2"/>
  <c r="F80" i="2"/>
  <c r="I80" i="2"/>
  <c r="J80" i="2"/>
  <c r="E81" i="2"/>
  <c r="F81" i="2"/>
  <c r="I81" i="2"/>
  <c r="J81" i="2"/>
  <c r="E82" i="2"/>
  <c r="F82" i="2"/>
  <c r="I82" i="2"/>
  <c r="J82" i="2"/>
  <c r="E83" i="2"/>
  <c r="F83" i="2"/>
  <c r="I83" i="2"/>
  <c r="E84" i="2"/>
  <c r="I84" i="2"/>
  <c r="J84" i="2"/>
  <c r="E85" i="2"/>
  <c r="F85" i="2"/>
  <c r="I85" i="2"/>
  <c r="J85" i="2"/>
  <c r="E86" i="2"/>
  <c r="I86" i="2"/>
  <c r="J86" i="2"/>
  <c r="E87" i="2"/>
  <c r="I87" i="2"/>
  <c r="J87" i="2"/>
  <c r="E88" i="2"/>
  <c r="F88" i="2"/>
  <c r="I88" i="2"/>
  <c r="J88" i="2"/>
  <c r="E89" i="2"/>
  <c r="F89" i="2"/>
  <c r="I89" i="2"/>
  <c r="J89" i="2"/>
  <c r="E90" i="2"/>
  <c r="F90" i="2"/>
  <c r="I90" i="2"/>
  <c r="E91" i="2"/>
  <c r="I91" i="2"/>
  <c r="J91" i="2"/>
  <c r="E92" i="2"/>
  <c r="F92" i="2"/>
  <c r="I92" i="2"/>
  <c r="J92" i="2"/>
  <c r="E93" i="2"/>
  <c r="F93" i="2"/>
  <c r="I93" i="2"/>
  <c r="E94" i="2"/>
  <c r="F94" i="2"/>
  <c r="I94" i="2"/>
  <c r="J94" i="2"/>
  <c r="E95" i="2"/>
  <c r="F95" i="2"/>
  <c r="I95" i="2"/>
  <c r="J95" i="2"/>
  <c r="E96" i="2"/>
  <c r="F96" i="2"/>
  <c r="I96" i="2"/>
  <c r="J96" i="2"/>
  <c r="E97" i="2"/>
  <c r="F97" i="2"/>
  <c r="I97" i="2"/>
  <c r="J97" i="2"/>
  <c r="E98" i="2"/>
  <c r="I98" i="2"/>
  <c r="J98" i="2"/>
  <c r="E99" i="2"/>
  <c r="I99" i="2"/>
  <c r="J99" i="2"/>
  <c r="E100" i="2"/>
  <c r="I100" i="2"/>
  <c r="J100" i="2"/>
  <c r="E101" i="2"/>
  <c r="F101" i="2"/>
  <c r="I101" i="2"/>
  <c r="J101" i="2"/>
  <c r="E102" i="2"/>
  <c r="F102" i="2"/>
  <c r="I102" i="2"/>
  <c r="E103" i="2"/>
  <c r="I103" i="2"/>
  <c r="J103" i="2"/>
  <c r="E104" i="2"/>
  <c r="I104" i="2"/>
  <c r="J104" i="2"/>
  <c r="E105" i="2"/>
  <c r="F105" i="2"/>
  <c r="I105" i="2"/>
  <c r="J105" i="2"/>
  <c r="E106" i="2"/>
  <c r="F106" i="2"/>
  <c r="I106" i="2"/>
  <c r="J106" i="2"/>
  <c r="E107" i="2"/>
  <c r="I107" i="2"/>
  <c r="J107" i="2"/>
  <c r="E108" i="2"/>
  <c r="F108" i="2"/>
  <c r="I108" i="2"/>
  <c r="J108" i="2"/>
  <c r="E109" i="2"/>
  <c r="F109" i="2"/>
  <c r="I109" i="2"/>
  <c r="E110" i="2"/>
  <c r="I110" i="2"/>
  <c r="J110" i="2"/>
  <c r="E111" i="2"/>
  <c r="I111" i="2"/>
  <c r="J111" i="2"/>
  <c r="E112" i="2"/>
  <c r="F112" i="2"/>
  <c r="I112" i="2"/>
  <c r="J112" i="2"/>
  <c r="E113" i="2"/>
  <c r="F113" i="2"/>
  <c r="I113" i="2"/>
  <c r="J113" i="2"/>
  <c r="E114" i="2"/>
  <c r="F114" i="2"/>
  <c r="I114" i="2"/>
  <c r="J114" i="2"/>
  <c r="E115" i="2"/>
  <c r="F115" i="2"/>
  <c r="I115" i="2"/>
  <c r="E116" i="2"/>
  <c r="I116" i="2"/>
  <c r="E117" i="2"/>
  <c r="F117" i="2"/>
  <c r="I117" i="2"/>
  <c r="E118" i="2"/>
  <c r="F118" i="2"/>
  <c r="I118" i="2"/>
  <c r="E119" i="2"/>
  <c r="F119" i="2"/>
  <c r="I119" i="2"/>
  <c r="E120" i="2"/>
  <c r="F120" i="2"/>
  <c r="I120" i="2"/>
  <c r="E121" i="2"/>
  <c r="F121" i="2"/>
  <c r="I121" i="2"/>
  <c r="E122" i="2"/>
  <c r="F122" i="2"/>
  <c r="I122" i="2"/>
  <c r="E123" i="2"/>
  <c r="F123" i="2"/>
  <c r="I123" i="2"/>
  <c r="E124" i="2"/>
  <c r="F124" i="2"/>
  <c r="I124" i="2"/>
  <c r="E125" i="2"/>
  <c r="F125" i="2"/>
  <c r="I125" i="2"/>
  <c r="E126" i="2"/>
  <c r="F126" i="2"/>
  <c r="I126" i="2"/>
  <c r="E127" i="2"/>
  <c r="F127" i="2"/>
  <c r="I127" i="2"/>
  <c r="E128" i="2"/>
  <c r="F128" i="2"/>
  <c r="I128" i="2"/>
  <c r="E129" i="2"/>
  <c r="F129" i="2"/>
  <c r="I129" i="2"/>
  <c r="E130" i="2"/>
  <c r="F130" i="2"/>
  <c r="I130" i="2"/>
  <c r="E131" i="2"/>
  <c r="F131" i="2"/>
  <c r="I131" i="2"/>
  <c r="E132" i="2"/>
  <c r="I132" i="2"/>
  <c r="J132" i="2"/>
  <c r="E133" i="2"/>
  <c r="I133" i="2"/>
  <c r="J133" i="2"/>
  <c r="E134" i="2"/>
  <c r="I134" i="2"/>
  <c r="E135" i="2"/>
  <c r="I135" i="2"/>
  <c r="J135" i="2"/>
  <c r="E136" i="2"/>
  <c r="I136" i="2"/>
  <c r="E137" i="2"/>
  <c r="F137" i="2"/>
  <c r="I137" i="2"/>
  <c r="J137" i="2"/>
  <c r="E138" i="2"/>
  <c r="F138" i="2"/>
  <c r="I138" i="2"/>
  <c r="J138" i="2"/>
  <c r="E139" i="2"/>
  <c r="F139" i="2"/>
  <c r="I139" i="2"/>
  <c r="J139" i="2"/>
  <c r="E140" i="2"/>
  <c r="F140" i="2"/>
  <c r="I140" i="2"/>
  <c r="E141" i="2"/>
  <c r="F141" i="2"/>
  <c r="I141" i="2"/>
  <c r="E142" i="2"/>
  <c r="I142" i="2"/>
  <c r="E143" i="2"/>
  <c r="I143" i="2"/>
  <c r="J143" i="2"/>
  <c r="E144" i="2"/>
  <c r="I144" i="2"/>
  <c r="J144" i="2"/>
  <c r="E145" i="2"/>
  <c r="I145" i="2"/>
  <c r="J145" i="2"/>
  <c r="E146" i="2"/>
  <c r="F146" i="2"/>
  <c r="I146" i="2"/>
  <c r="E147" i="2"/>
  <c r="F147" i="2"/>
  <c r="I147" i="2"/>
  <c r="J147" i="2"/>
  <c r="E148" i="2"/>
  <c r="F148" i="2"/>
  <c r="I148" i="2"/>
  <c r="J148" i="2"/>
  <c r="E149" i="2"/>
  <c r="F149" i="2"/>
  <c r="I149" i="2"/>
  <c r="J149" i="2"/>
  <c r="E150" i="2"/>
  <c r="F150" i="2"/>
  <c r="I150" i="2"/>
  <c r="E151" i="2"/>
  <c r="F151" i="2"/>
  <c r="I151" i="2"/>
  <c r="J151" i="2"/>
  <c r="E152" i="2"/>
  <c r="I152" i="2"/>
  <c r="E153" i="2"/>
  <c r="I153" i="2"/>
  <c r="E154" i="2"/>
  <c r="I154" i="2"/>
  <c r="J154" i="2"/>
  <c r="E155" i="2"/>
  <c r="I155" i="2"/>
  <c r="J155" i="2"/>
  <c r="E156" i="2"/>
  <c r="F156" i="2"/>
  <c r="I156" i="2"/>
  <c r="J156" i="2"/>
  <c r="E157" i="2"/>
  <c r="F157" i="2"/>
  <c r="I157" i="2"/>
  <c r="J157" i="2"/>
  <c r="E158" i="2"/>
  <c r="F158" i="2"/>
  <c r="I158" i="2"/>
  <c r="J158" i="2"/>
  <c r="E159" i="2"/>
  <c r="F159" i="2"/>
  <c r="I159" i="2"/>
  <c r="E160" i="2"/>
  <c r="F160" i="2"/>
  <c r="I160" i="2"/>
  <c r="E161" i="2"/>
  <c r="I161" i="2"/>
  <c r="J161" i="2"/>
  <c r="E162" i="2"/>
  <c r="F162" i="2"/>
  <c r="I162" i="2"/>
  <c r="E163" i="2"/>
  <c r="F163" i="2"/>
  <c r="I163" i="2"/>
  <c r="J163" i="2"/>
  <c r="E164" i="2"/>
  <c r="F164" i="2"/>
  <c r="I164" i="2"/>
  <c r="J164" i="2"/>
  <c r="E165" i="2"/>
  <c r="F165" i="2"/>
  <c r="I165" i="2"/>
  <c r="J165" i="2"/>
  <c r="E166" i="2"/>
  <c r="F166" i="2"/>
  <c r="I166" i="2"/>
  <c r="J166" i="2"/>
  <c r="E167" i="2"/>
  <c r="F167" i="2"/>
  <c r="I167" i="2"/>
  <c r="J167" i="2"/>
  <c r="E168" i="2"/>
  <c r="F168" i="2"/>
  <c r="I168" i="2"/>
  <c r="J168" i="2"/>
  <c r="E169" i="2"/>
  <c r="F169" i="2"/>
  <c r="I169" i="2"/>
  <c r="J169" i="2"/>
  <c r="E170" i="2"/>
  <c r="F170" i="2"/>
  <c r="I170" i="2"/>
  <c r="J170" i="2"/>
  <c r="E171" i="2"/>
  <c r="I171" i="2"/>
  <c r="E172" i="2"/>
  <c r="F172" i="2"/>
  <c r="I172" i="2"/>
  <c r="E173" i="2"/>
  <c r="I173" i="2"/>
  <c r="E174" i="2"/>
  <c r="I174" i="2"/>
  <c r="E175" i="2"/>
  <c r="F175" i="2"/>
  <c r="I175" i="2"/>
  <c r="E176" i="2"/>
  <c r="I176" i="2"/>
  <c r="J176" i="2"/>
  <c r="E177" i="2"/>
  <c r="F177" i="2"/>
  <c r="I177" i="2"/>
  <c r="E178" i="2"/>
  <c r="F178" i="2"/>
  <c r="I178" i="2"/>
  <c r="E179" i="2"/>
  <c r="I179" i="2"/>
  <c r="E180" i="2"/>
  <c r="I180" i="2"/>
  <c r="E181" i="2"/>
  <c r="F181" i="2"/>
  <c r="I181" i="2"/>
  <c r="E182" i="2"/>
  <c r="F182" i="2"/>
  <c r="I182" i="2"/>
  <c r="J182" i="2"/>
  <c r="E183" i="2"/>
  <c r="F183" i="2"/>
  <c r="I183" i="2"/>
  <c r="J183" i="2"/>
  <c r="E184" i="2"/>
  <c r="F184" i="2"/>
  <c r="I184" i="2"/>
  <c r="J184" i="2"/>
  <c r="E185" i="2"/>
  <c r="I185" i="2"/>
  <c r="J185" i="2"/>
  <c r="E186" i="2"/>
  <c r="F186" i="2"/>
  <c r="I186" i="2"/>
  <c r="J186" i="2"/>
  <c r="E187" i="2"/>
  <c r="F187" i="2"/>
  <c r="I187" i="2"/>
  <c r="J187" i="2"/>
  <c r="E188" i="2"/>
  <c r="F188" i="2"/>
  <c r="I188" i="2"/>
  <c r="J188" i="2"/>
  <c r="E189" i="2"/>
  <c r="F189" i="2"/>
  <c r="I189" i="2"/>
  <c r="J189" i="2"/>
  <c r="E190" i="2"/>
  <c r="I190" i="2"/>
  <c r="E191" i="2"/>
  <c r="I191" i="2"/>
  <c r="E192" i="2"/>
  <c r="I192" i="2"/>
  <c r="E193" i="2"/>
  <c r="I193" i="2"/>
  <c r="E194" i="2"/>
  <c r="I194" i="2"/>
  <c r="E195" i="2"/>
  <c r="I195" i="2"/>
  <c r="J195" i="2"/>
  <c r="E196" i="2"/>
  <c r="F196" i="2"/>
  <c r="I196" i="2"/>
  <c r="E197" i="2"/>
  <c r="F197" i="2"/>
  <c r="I197" i="2"/>
  <c r="E198" i="2"/>
  <c r="F198" i="2"/>
  <c r="I198" i="2"/>
  <c r="E199" i="2"/>
  <c r="F199" i="2"/>
  <c r="I199" i="2"/>
  <c r="E200" i="2"/>
  <c r="F200" i="2"/>
  <c r="I200" i="2"/>
  <c r="E201" i="2"/>
  <c r="F201" i="2"/>
  <c r="I201" i="2"/>
  <c r="E202" i="2"/>
  <c r="F202" i="2"/>
  <c r="I202" i="2"/>
  <c r="J202" i="2"/>
  <c r="E203" i="2"/>
  <c r="F203" i="2"/>
  <c r="I203" i="2"/>
  <c r="J203" i="2"/>
  <c r="E204" i="2"/>
  <c r="F204" i="2"/>
  <c r="I204" i="2"/>
  <c r="J204" i="2"/>
  <c r="E205" i="2"/>
  <c r="F205" i="2"/>
  <c r="I205" i="2"/>
  <c r="E206" i="2"/>
  <c r="F206" i="2"/>
  <c r="I206" i="2"/>
  <c r="E207" i="2"/>
  <c r="I207" i="2"/>
  <c r="J207" i="2"/>
  <c r="E208" i="2"/>
  <c r="I208" i="2"/>
  <c r="J208" i="2"/>
  <c r="E209" i="2"/>
  <c r="F209" i="2"/>
  <c r="I209" i="2"/>
  <c r="E210" i="2"/>
  <c r="F210" i="2"/>
  <c r="I210" i="2"/>
  <c r="E211" i="2"/>
  <c r="F211" i="2"/>
  <c r="I211" i="2"/>
  <c r="E212" i="2"/>
  <c r="F212" i="2"/>
  <c r="I212" i="2"/>
  <c r="E213" i="2"/>
  <c r="F213" i="2"/>
  <c r="I213" i="2"/>
  <c r="E214" i="2"/>
  <c r="F214" i="2"/>
  <c r="I214" i="2"/>
  <c r="E215" i="2"/>
  <c r="F215" i="2"/>
  <c r="I215" i="2"/>
  <c r="E216" i="2"/>
  <c r="F216" i="2"/>
  <c r="I216" i="2"/>
  <c r="E217" i="2"/>
  <c r="F217" i="2"/>
  <c r="I217" i="2"/>
  <c r="E218" i="2"/>
  <c r="F218" i="2"/>
  <c r="I218" i="2"/>
  <c r="E219" i="2"/>
  <c r="F219" i="2"/>
  <c r="I219" i="2"/>
  <c r="E220" i="2"/>
  <c r="F220" i="2"/>
  <c r="I220" i="2"/>
  <c r="E221" i="2"/>
  <c r="F221" i="2"/>
  <c r="I221" i="2"/>
  <c r="E222" i="2"/>
  <c r="F222" i="2"/>
  <c r="I222" i="2"/>
  <c r="E223" i="2"/>
  <c r="F223" i="2"/>
  <c r="I223" i="2"/>
  <c r="E224" i="2"/>
  <c r="F224" i="2"/>
  <c r="I224" i="2"/>
  <c r="E225" i="2"/>
  <c r="F225" i="2"/>
  <c r="I225" i="2"/>
  <c r="J225" i="2"/>
  <c r="E226" i="2"/>
  <c r="F226" i="2"/>
  <c r="I226" i="2"/>
  <c r="E227" i="2"/>
  <c r="F227" i="2"/>
  <c r="I227" i="2"/>
  <c r="J227" i="2"/>
  <c r="E228" i="2"/>
  <c r="I228" i="2"/>
  <c r="J228" i="2"/>
  <c r="E229" i="2"/>
  <c r="I229" i="2"/>
  <c r="J229" i="2"/>
  <c r="E230" i="2"/>
  <c r="F230" i="2"/>
  <c r="I230" i="2"/>
  <c r="E231" i="2"/>
  <c r="F231" i="2"/>
  <c r="I231" i="2"/>
  <c r="J231" i="2"/>
  <c r="E232" i="2"/>
  <c r="F232" i="2"/>
  <c r="I232" i="2"/>
  <c r="E233" i="2"/>
  <c r="F233" i="2"/>
  <c r="I233" i="2"/>
  <c r="J233" i="2"/>
  <c r="E234" i="2"/>
  <c r="F234" i="2"/>
  <c r="I234" i="2"/>
  <c r="J234" i="2"/>
  <c r="E235" i="2"/>
  <c r="F235" i="2"/>
  <c r="I235" i="2"/>
  <c r="J235" i="2"/>
  <c r="E236" i="2"/>
  <c r="F236" i="2"/>
  <c r="I236" i="2"/>
  <c r="J236" i="2"/>
  <c r="E237" i="2"/>
  <c r="I237" i="2"/>
  <c r="E238" i="2"/>
  <c r="F238" i="2"/>
  <c r="I238" i="2"/>
  <c r="J238" i="2"/>
  <c r="E239" i="2"/>
  <c r="I239" i="2"/>
  <c r="J239" i="2"/>
  <c r="E240" i="2"/>
  <c r="F240" i="2"/>
  <c r="I240" i="2"/>
  <c r="J240" i="2"/>
  <c r="E241" i="2"/>
  <c r="F241" i="2"/>
  <c r="I241" i="2"/>
  <c r="E242" i="2"/>
  <c r="F242" i="2"/>
  <c r="I242" i="2"/>
  <c r="J242" i="2"/>
  <c r="E243" i="2"/>
  <c r="F243" i="2"/>
  <c r="I243" i="2"/>
  <c r="E244" i="2"/>
  <c r="F244" i="2"/>
  <c r="I244" i="2"/>
  <c r="J244" i="2"/>
  <c r="E245" i="2"/>
  <c r="F245" i="2"/>
  <c r="I245" i="2"/>
  <c r="E246" i="2"/>
  <c r="F246" i="2"/>
  <c r="I246" i="2"/>
  <c r="E247" i="2"/>
  <c r="F247" i="2"/>
  <c r="I247" i="2"/>
  <c r="J247" i="2"/>
  <c r="E248" i="2"/>
  <c r="I248" i="2"/>
  <c r="J248" i="2"/>
  <c r="E249" i="2"/>
  <c r="F249" i="2"/>
  <c r="I249" i="2"/>
  <c r="J249" i="2"/>
  <c r="E250" i="2"/>
  <c r="F250" i="2"/>
  <c r="I250" i="2"/>
  <c r="E251" i="2"/>
  <c r="F251" i="2"/>
  <c r="I251" i="2"/>
  <c r="E252" i="2"/>
  <c r="F252" i="2"/>
  <c r="I252" i="2"/>
  <c r="E253" i="2"/>
  <c r="F253" i="2"/>
  <c r="I253" i="2"/>
  <c r="J253" i="2"/>
  <c r="E254" i="2"/>
  <c r="I254" i="2"/>
  <c r="J254" i="2"/>
  <c r="E255" i="2"/>
  <c r="I255" i="2"/>
  <c r="E256" i="2"/>
  <c r="F256" i="2"/>
  <c r="I256" i="2"/>
  <c r="J256" i="2"/>
  <c r="E257" i="2"/>
  <c r="I257" i="2"/>
  <c r="J257" i="2"/>
  <c r="E258" i="2"/>
  <c r="F258" i="2"/>
  <c r="I258" i="2"/>
  <c r="J258" i="2"/>
  <c r="E259" i="2"/>
  <c r="F259" i="2"/>
  <c r="I259" i="2"/>
  <c r="J259" i="2"/>
  <c r="E260" i="2"/>
  <c r="F260" i="2"/>
  <c r="I260" i="2"/>
  <c r="J260" i="2"/>
  <c r="E261" i="2"/>
  <c r="F261" i="2"/>
  <c r="I261" i="2"/>
  <c r="J261" i="2"/>
  <c r="E262" i="2"/>
  <c r="F262" i="2"/>
  <c r="I262" i="2"/>
  <c r="J262" i="2"/>
  <c r="E263" i="2"/>
  <c r="I263" i="2"/>
  <c r="E264" i="2"/>
  <c r="I264" i="2"/>
  <c r="E265" i="2"/>
  <c r="I265" i="2"/>
  <c r="E266" i="2"/>
  <c r="I266" i="2"/>
  <c r="E267" i="2"/>
  <c r="I267" i="2"/>
  <c r="J267" i="2"/>
  <c r="E268" i="2"/>
  <c r="I268" i="2"/>
  <c r="E269" i="2"/>
  <c r="I269" i="2"/>
  <c r="J269" i="2"/>
  <c r="E270" i="2"/>
  <c r="I270" i="2"/>
  <c r="J270" i="2"/>
  <c r="E271" i="2"/>
  <c r="I271" i="2"/>
  <c r="E272" i="2"/>
  <c r="F272" i="2"/>
  <c r="I272" i="2"/>
  <c r="J272" i="2"/>
  <c r="E273" i="2"/>
  <c r="I273" i="2"/>
  <c r="E274" i="2"/>
  <c r="I274" i="2"/>
  <c r="J274" i="2"/>
  <c r="E275" i="2"/>
  <c r="I275" i="2"/>
  <c r="E276" i="2"/>
  <c r="I276" i="2"/>
  <c r="E277" i="2"/>
  <c r="I277" i="2"/>
  <c r="J277" i="2"/>
  <c r="E278" i="2"/>
  <c r="F278" i="2"/>
  <c r="I278" i="2"/>
  <c r="J278" i="2"/>
  <c r="E279" i="2"/>
  <c r="F279" i="2"/>
  <c r="I279" i="2"/>
  <c r="E280" i="2"/>
  <c r="F280" i="2"/>
  <c r="I280" i="2"/>
  <c r="E281" i="2"/>
  <c r="F281" i="2"/>
  <c r="I281" i="2"/>
  <c r="E282" i="2"/>
  <c r="I282" i="2"/>
  <c r="E283" i="2"/>
  <c r="I283" i="2"/>
  <c r="J283" i="2"/>
  <c r="E284" i="2"/>
  <c r="F284" i="2"/>
  <c r="I284" i="2"/>
  <c r="E285" i="2"/>
  <c r="F285" i="2"/>
  <c r="I285" i="2"/>
  <c r="E286" i="2"/>
  <c r="F286" i="2"/>
  <c r="I286" i="2"/>
  <c r="E287" i="2"/>
  <c r="F287" i="2"/>
  <c r="I287" i="2"/>
  <c r="E288" i="2"/>
  <c r="F288" i="2"/>
  <c r="I288" i="2"/>
  <c r="J288" i="2"/>
  <c r="E289" i="2"/>
  <c r="F289" i="2"/>
  <c r="I289" i="2"/>
  <c r="J289" i="2"/>
  <c r="E290" i="2"/>
  <c r="F290" i="2"/>
  <c r="I290" i="2"/>
  <c r="J290" i="2"/>
  <c r="E291" i="2"/>
  <c r="F291" i="2"/>
  <c r="I291" i="2"/>
  <c r="J291" i="2"/>
  <c r="E292" i="2"/>
  <c r="F292" i="2"/>
  <c r="I292" i="2"/>
  <c r="J292" i="2"/>
  <c r="E293" i="2"/>
  <c r="I293" i="2"/>
  <c r="J293" i="2"/>
  <c r="E294" i="2"/>
  <c r="F294" i="2"/>
  <c r="I294" i="2"/>
  <c r="J294" i="2"/>
  <c r="E295" i="2"/>
  <c r="I295" i="2"/>
  <c r="J295" i="2"/>
  <c r="E296" i="2"/>
  <c r="I296" i="2"/>
  <c r="J296" i="2"/>
  <c r="E297" i="2"/>
  <c r="I297" i="2"/>
  <c r="J297" i="2"/>
  <c r="E298" i="2"/>
  <c r="I298" i="2"/>
  <c r="J298" i="2"/>
  <c r="E299" i="2"/>
  <c r="I299" i="2"/>
  <c r="E300" i="2"/>
  <c r="I300" i="2"/>
  <c r="E301" i="2"/>
  <c r="I301" i="2"/>
  <c r="E302" i="2"/>
  <c r="I302" i="2"/>
  <c r="E303" i="2"/>
  <c r="I303" i="2"/>
  <c r="E304" i="2"/>
  <c r="I304" i="2"/>
  <c r="E305" i="2"/>
  <c r="I305" i="2"/>
  <c r="E306" i="2"/>
  <c r="I306" i="2"/>
  <c r="J306" i="2"/>
  <c r="E307" i="2"/>
  <c r="I307" i="2"/>
  <c r="J307" i="2"/>
  <c r="E308" i="2"/>
  <c r="F308" i="2"/>
  <c r="I308" i="2"/>
  <c r="E309" i="2"/>
  <c r="I309" i="2"/>
  <c r="E310" i="2"/>
  <c r="I310" i="2"/>
  <c r="J310" i="2"/>
  <c r="E311" i="2"/>
  <c r="I311" i="2"/>
  <c r="E312" i="2"/>
  <c r="I312" i="2"/>
  <c r="J312" i="2"/>
  <c r="E313" i="2"/>
  <c r="I313" i="2"/>
  <c r="J313" i="2"/>
  <c r="E314" i="2"/>
  <c r="I314" i="2"/>
  <c r="J314" i="2"/>
  <c r="E315" i="2"/>
  <c r="I315" i="2"/>
  <c r="E316" i="2"/>
  <c r="I316" i="2"/>
  <c r="J316" i="2"/>
  <c r="E317" i="2"/>
  <c r="I317" i="2"/>
  <c r="E318" i="2"/>
  <c r="I318" i="2"/>
  <c r="E319" i="2"/>
  <c r="I319" i="2"/>
  <c r="E320" i="2"/>
  <c r="I320" i="2"/>
  <c r="E321" i="2"/>
  <c r="I321" i="2"/>
  <c r="E322" i="2"/>
  <c r="F322" i="2"/>
  <c r="I322" i="2"/>
  <c r="E323" i="2"/>
  <c r="F323" i="2"/>
  <c r="I323" i="2"/>
  <c r="E324" i="2"/>
  <c r="I324" i="2"/>
  <c r="J324" i="2"/>
  <c r="E325" i="2"/>
  <c r="I325" i="2"/>
  <c r="J325" i="2"/>
  <c r="E326" i="2"/>
  <c r="I326" i="2"/>
  <c r="E327" i="2"/>
  <c r="F327" i="2"/>
  <c r="I327" i="2"/>
  <c r="E328" i="2"/>
  <c r="I328" i="2"/>
  <c r="J328" i="2"/>
  <c r="E329" i="2"/>
  <c r="F329" i="2"/>
  <c r="I329" i="2"/>
  <c r="E330" i="2"/>
  <c r="F330" i="2"/>
  <c r="I330" i="2"/>
  <c r="E331" i="2"/>
  <c r="F331" i="2"/>
  <c r="I331" i="2"/>
  <c r="J331" i="2"/>
  <c r="E332" i="2"/>
  <c r="I332" i="2"/>
  <c r="J332" i="2"/>
  <c r="E333" i="2"/>
  <c r="F333" i="2"/>
  <c r="I333" i="2"/>
  <c r="E334" i="2"/>
  <c r="F334" i="2"/>
  <c r="I334" i="2"/>
  <c r="J334" i="2"/>
  <c r="E335" i="2"/>
  <c r="F335" i="2"/>
  <c r="I335" i="2"/>
  <c r="J335" i="2"/>
  <c r="E336" i="2"/>
  <c r="F336" i="2"/>
  <c r="I336" i="2"/>
  <c r="J336" i="2"/>
  <c r="E337" i="2"/>
  <c r="I337" i="2"/>
  <c r="J337" i="2"/>
  <c r="E338" i="2"/>
  <c r="F338" i="2"/>
  <c r="I338" i="2"/>
  <c r="J338" i="2"/>
  <c r="E339" i="2"/>
  <c r="I339" i="2"/>
  <c r="J339" i="2"/>
  <c r="E340" i="2"/>
  <c r="I340" i="2"/>
  <c r="J340" i="2"/>
  <c r="E341" i="2"/>
  <c r="F341" i="2"/>
  <c r="I341" i="2"/>
  <c r="J341" i="2"/>
  <c r="E342" i="2"/>
  <c r="F342" i="2"/>
  <c r="I342" i="2"/>
  <c r="J342" i="2"/>
  <c r="E343" i="2"/>
  <c r="F343" i="2"/>
  <c r="I343" i="2"/>
  <c r="E344" i="2"/>
  <c r="F344" i="2"/>
  <c r="I344" i="2"/>
  <c r="E345" i="2"/>
  <c r="F345" i="2"/>
  <c r="I345" i="2"/>
  <c r="J345" i="2"/>
  <c r="E346" i="2"/>
  <c r="F346" i="2"/>
  <c r="I346" i="2"/>
  <c r="J346" i="2"/>
  <c r="E347" i="2"/>
  <c r="I347" i="2"/>
  <c r="E348" i="2"/>
  <c r="I348" i="2"/>
  <c r="J348" i="2"/>
  <c r="E349" i="2"/>
  <c r="F349" i="2"/>
  <c r="I349" i="2"/>
  <c r="E350" i="2"/>
  <c r="I350" i="2"/>
  <c r="J350" i="2"/>
  <c r="E351" i="2"/>
  <c r="F351" i="2"/>
  <c r="I351" i="2"/>
  <c r="J351" i="2"/>
  <c r="E352" i="2"/>
  <c r="F352" i="2"/>
  <c r="I352" i="2"/>
  <c r="J352" i="2"/>
  <c r="E353" i="2"/>
  <c r="I353" i="2"/>
  <c r="J353" i="2"/>
  <c r="E354" i="2"/>
  <c r="I354" i="2"/>
  <c r="J354" i="2"/>
  <c r="E355" i="2"/>
  <c r="F355" i="2"/>
  <c r="I355" i="2"/>
  <c r="J355" i="2"/>
  <c r="E356" i="2"/>
  <c r="F356" i="2"/>
  <c r="I356" i="2"/>
  <c r="J356" i="2"/>
  <c r="E357" i="2"/>
  <c r="F357" i="2"/>
  <c r="I357" i="2"/>
  <c r="J357" i="2"/>
  <c r="E358" i="2"/>
  <c r="F358" i="2"/>
  <c r="I358" i="2"/>
  <c r="J358" i="2"/>
  <c r="E359" i="2"/>
  <c r="F359" i="2"/>
  <c r="I359" i="2"/>
  <c r="E360" i="2"/>
  <c r="F360" i="2"/>
  <c r="I360" i="2"/>
  <c r="J360" i="2"/>
  <c r="E361" i="2"/>
  <c r="I361" i="2"/>
  <c r="E362" i="2"/>
  <c r="I362" i="2"/>
  <c r="E363" i="2"/>
  <c r="I363" i="2"/>
  <c r="E364" i="2"/>
  <c r="I364" i="2"/>
  <c r="J364" i="2"/>
  <c r="E365" i="2"/>
  <c r="I365" i="2"/>
  <c r="E366" i="2"/>
  <c r="F366" i="2"/>
  <c r="I366" i="2"/>
  <c r="J366" i="2"/>
  <c r="E367" i="2"/>
  <c r="F367" i="2"/>
  <c r="I367" i="2"/>
  <c r="J367" i="2"/>
  <c r="E368" i="2"/>
  <c r="F368" i="2"/>
  <c r="I368" i="2"/>
  <c r="E369" i="2"/>
  <c r="I369" i="2"/>
  <c r="J369" i="2"/>
  <c r="E370" i="2"/>
  <c r="F370" i="2"/>
  <c r="I370" i="2"/>
  <c r="J370" i="2"/>
  <c r="E371" i="2"/>
  <c r="I371" i="2"/>
  <c r="J371" i="2"/>
  <c r="E372" i="2"/>
  <c r="F372" i="2"/>
  <c r="I372" i="2"/>
  <c r="E373" i="2"/>
  <c r="F373" i="2"/>
  <c r="I373" i="2"/>
  <c r="E374" i="2"/>
  <c r="I374" i="2"/>
  <c r="J374" i="2"/>
  <c r="E375" i="2"/>
  <c r="F375" i="2"/>
  <c r="I375" i="2"/>
  <c r="J375" i="2"/>
  <c r="E376" i="2"/>
  <c r="F376" i="2"/>
  <c r="I376" i="2"/>
  <c r="J376" i="2"/>
  <c r="E377" i="2"/>
  <c r="I377" i="2"/>
  <c r="J377" i="2"/>
  <c r="E378" i="2"/>
  <c r="F378" i="2"/>
  <c r="I378" i="2"/>
  <c r="J378" i="2"/>
  <c r="E379" i="2"/>
  <c r="I379" i="2"/>
  <c r="E380" i="2"/>
  <c r="F380" i="2"/>
  <c r="I380" i="2"/>
  <c r="J380" i="2"/>
  <c r="E381" i="2"/>
  <c r="F381" i="2"/>
  <c r="I381" i="2"/>
  <c r="J381" i="2"/>
  <c r="E382" i="2"/>
  <c r="I382" i="2"/>
  <c r="J382" i="2"/>
  <c r="E383" i="2"/>
  <c r="I383" i="2"/>
  <c r="J383" i="2"/>
  <c r="E384" i="2"/>
  <c r="F384" i="2"/>
  <c r="I384" i="2"/>
  <c r="J384" i="2"/>
  <c r="E385" i="2"/>
  <c r="F385" i="2"/>
  <c r="I385" i="2"/>
  <c r="E386" i="2"/>
  <c r="I386" i="2"/>
  <c r="J386" i="2"/>
  <c r="E387" i="2"/>
  <c r="F387" i="2"/>
  <c r="I387" i="2"/>
  <c r="J387" i="2"/>
  <c r="E388" i="2"/>
  <c r="F388" i="2"/>
  <c r="I388" i="2"/>
  <c r="J388" i="2"/>
  <c r="E389" i="2"/>
  <c r="F389" i="2"/>
  <c r="I389" i="2"/>
  <c r="E390" i="2"/>
  <c r="I390" i="2"/>
  <c r="J390" i="2"/>
  <c r="E391" i="2"/>
  <c r="I391" i="2"/>
  <c r="J391" i="2"/>
  <c r="E392" i="2"/>
  <c r="I392" i="2"/>
  <c r="E393" i="2"/>
  <c r="I393" i="2"/>
  <c r="E394" i="2"/>
  <c r="I394" i="2"/>
  <c r="E395" i="2"/>
  <c r="F395" i="2"/>
  <c r="I395" i="2"/>
  <c r="J395" i="2"/>
  <c r="E396" i="2"/>
  <c r="I396" i="2"/>
  <c r="E397" i="2"/>
  <c r="I397" i="2"/>
  <c r="E398" i="2"/>
  <c r="I398" i="2"/>
  <c r="E399" i="2"/>
  <c r="I399" i="2"/>
  <c r="J399" i="2"/>
  <c r="E400" i="2"/>
  <c r="F400" i="2"/>
  <c r="I400" i="2"/>
  <c r="J400" i="2"/>
  <c r="E401" i="2"/>
  <c r="F401" i="2"/>
  <c r="I401" i="2"/>
  <c r="E402" i="2"/>
  <c r="I402" i="2"/>
  <c r="J402" i="2"/>
  <c r="E403" i="2"/>
  <c r="I403" i="2"/>
  <c r="J403" i="2"/>
  <c r="E404" i="2"/>
  <c r="I404" i="2"/>
  <c r="J404" i="2"/>
  <c r="E405" i="2"/>
  <c r="I405" i="2"/>
  <c r="J405" i="2"/>
  <c r="E406" i="2"/>
  <c r="I406" i="2"/>
  <c r="J406" i="2"/>
  <c r="E407" i="2"/>
  <c r="F407" i="2"/>
  <c r="I407" i="2"/>
  <c r="J407" i="2"/>
  <c r="E408" i="2"/>
  <c r="I408" i="2"/>
  <c r="J408" i="2"/>
  <c r="E409" i="2"/>
  <c r="F409" i="2"/>
  <c r="I409" i="2"/>
  <c r="J409" i="2"/>
  <c r="E410" i="2"/>
  <c r="I410" i="2"/>
  <c r="J410" i="2"/>
  <c r="E411" i="2"/>
  <c r="I411" i="2"/>
  <c r="J411" i="2"/>
  <c r="E412" i="2"/>
  <c r="F412" i="2"/>
  <c r="I412" i="2"/>
  <c r="J412" i="2"/>
  <c r="E413" i="2"/>
  <c r="I413" i="2"/>
  <c r="J413" i="2"/>
  <c r="E414" i="2"/>
  <c r="I414" i="2"/>
  <c r="J414" i="2"/>
  <c r="E415" i="2"/>
  <c r="I415" i="2"/>
  <c r="J415" i="2"/>
  <c r="E416" i="2"/>
  <c r="F416" i="2"/>
  <c r="I416" i="2"/>
  <c r="J416" i="2"/>
  <c r="E417" i="2"/>
  <c r="F417" i="2"/>
  <c r="I417" i="2"/>
  <c r="J417" i="2"/>
  <c r="E418" i="2"/>
  <c r="F418" i="2"/>
  <c r="I418" i="2"/>
  <c r="E419" i="2"/>
  <c r="I419" i="2"/>
  <c r="J419" i="2"/>
  <c r="E420" i="2"/>
  <c r="I420" i="2"/>
  <c r="E421" i="2"/>
  <c r="I421" i="2"/>
  <c r="J421" i="2"/>
  <c r="E422" i="2"/>
  <c r="I422" i="2"/>
  <c r="E423" i="2"/>
  <c r="F423" i="2"/>
  <c r="I423" i="2"/>
  <c r="J423" i="2"/>
  <c r="E424" i="2"/>
  <c r="I424" i="2"/>
  <c r="E425" i="2"/>
  <c r="F425" i="2"/>
  <c r="I425" i="2"/>
  <c r="E426" i="2"/>
  <c r="I426" i="2"/>
  <c r="J426" i="2"/>
  <c r="E427" i="2"/>
  <c r="I427" i="2"/>
  <c r="J427" i="2"/>
  <c r="E428" i="2"/>
  <c r="F428" i="2"/>
  <c r="I428" i="2"/>
  <c r="J428" i="2"/>
  <c r="E429" i="2"/>
  <c r="I429" i="2"/>
  <c r="J429" i="2"/>
  <c r="E430" i="2"/>
  <c r="F430" i="2"/>
  <c r="I430" i="2"/>
  <c r="E431" i="2"/>
  <c r="F431" i="2"/>
  <c r="I431" i="2"/>
  <c r="J431" i="2"/>
  <c r="E432" i="2"/>
  <c r="F432" i="2"/>
  <c r="I432" i="2"/>
  <c r="E433" i="2"/>
  <c r="I433" i="2"/>
  <c r="J433" i="2"/>
  <c r="E434" i="2"/>
  <c r="F434" i="2"/>
  <c r="I434" i="2"/>
  <c r="E435" i="2"/>
  <c r="F435" i="2"/>
  <c r="I435" i="2"/>
  <c r="E436" i="2"/>
  <c r="I436" i="2"/>
  <c r="E437" i="2"/>
  <c r="F437" i="2"/>
  <c r="I437" i="2"/>
  <c r="E438" i="2"/>
  <c r="I438" i="2"/>
  <c r="J438" i="2"/>
  <c r="E439" i="2"/>
  <c r="F439" i="2"/>
  <c r="I439" i="2"/>
  <c r="E440" i="2"/>
  <c r="I440" i="2"/>
  <c r="J440" i="2"/>
  <c r="E441" i="2"/>
  <c r="F441" i="2"/>
  <c r="I441" i="2"/>
  <c r="E442" i="2"/>
  <c r="F442" i="2"/>
  <c r="I442" i="2"/>
  <c r="J442" i="2"/>
  <c r="E443" i="2"/>
  <c r="F443" i="2"/>
  <c r="I443" i="2"/>
  <c r="J443" i="2"/>
  <c r="E444" i="2"/>
  <c r="F444" i="2"/>
  <c r="I444" i="2"/>
  <c r="J444" i="2"/>
  <c r="E445" i="2"/>
  <c r="F445" i="2"/>
  <c r="I445" i="2"/>
  <c r="J445" i="2"/>
  <c r="E446" i="2"/>
  <c r="F446" i="2"/>
  <c r="I446" i="2"/>
  <c r="E447" i="2"/>
  <c r="F447" i="2"/>
  <c r="I447" i="2"/>
  <c r="J447" i="2"/>
  <c r="E448" i="2"/>
  <c r="F448" i="2"/>
  <c r="I448" i="2"/>
  <c r="J448" i="2"/>
  <c r="E449" i="2"/>
  <c r="F449" i="2"/>
  <c r="I449" i="2"/>
  <c r="E450" i="2"/>
  <c r="I450" i="2"/>
  <c r="J450" i="2"/>
  <c r="E451" i="2"/>
  <c r="F451" i="2"/>
  <c r="I451" i="2"/>
  <c r="J451" i="2"/>
  <c r="E452" i="2"/>
  <c r="F452" i="2"/>
  <c r="I452" i="2"/>
  <c r="E453" i="2"/>
  <c r="I453" i="2"/>
  <c r="J453" i="2"/>
  <c r="E454" i="2"/>
  <c r="I454" i="2"/>
  <c r="E455" i="2"/>
  <c r="F455" i="2"/>
  <c r="I455" i="2"/>
  <c r="J455" i="2"/>
  <c r="E456" i="2"/>
  <c r="F456" i="2"/>
  <c r="I456" i="2"/>
  <c r="J456" i="2"/>
  <c r="E457" i="2"/>
  <c r="F457" i="2"/>
  <c r="I457" i="2"/>
  <c r="J457" i="2"/>
  <c r="E458" i="2"/>
  <c r="F458" i="2"/>
  <c r="I458" i="2"/>
  <c r="J458" i="2"/>
  <c r="E459" i="2"/>
  <c r="F459" i="2"/>
  <c r="I459" i="2"/>
  <c r="J459" i="2"/>
  <c r="E460" i="2"/>
  <c r="I460" i="2"/>
  <c r="E461" i="2"/>
  <c r="F461" i="2"/>
  <c r="I461" i="2"/>
  <c r="E462" i="2"/>
  <c r="I462" i="2"/>
  <c r="J462" i="2"/>
  <c r="E463" i="2"/>
  <c r="F463" i="2"/>
  <c r="I463" i="2"/>
  <c r="E464" i="2"/>
  <c r="I464" i="2"/>
  <c r="E465" i="2"/>
  <c r="F465" i="2"/>
  <c r="I465" i="2"/>
  <c r="J465" i="2"/>
  <c r="E466" i="2"/>
  <c r="I466" i="2"/>
  <c r="J466" i="2"/>
  <c r="E467" i="2"/>
  <c r="I467" i="2"/>
  <c r="E468" i="2"/>
  <c r="F468" i="2"/>
  <c r="I468" i="2"/>
  <c r="E469" i="2"/>
  <c r="I469" i="2"/>
  <c r="E470" i="2"/>
  <c r="I470" i="2"/>
  <c r="E471" i="2"/>
  <c r="I471" i="2"/>
  <c r="J471" i="2"/>
  <c r="E472" i="2"/>
  <c r="I472" i="2"/>
  <c r="J472" i="2"/>
  <c r="E473" i="2"/>
  <c r="I473" i="2"/>
  <c r="J473" i="2"/>
  <c r="E474" i="2"/>
  <c r="I474" i="2"/>
  <c r="E475" i="2"/>
  <c r="F475" i="2"/>
  <c r="I475" i="2"/>
  <c r="E476" i="2"/>
  <c r="F476" i="2"/>
  <c r="I476" i="2"/>
  <c r="E477" i="2"/>
  <c r="F477" i="2"/>
  <c r="I477" i="2"/>
  <c r="E478" i="2"/>
  <c r="F478" i="2"/>
  <c r="I478" i="2"/>
  <c r="E479" i="2"/>
  <c r="F479" i="2"/>
  <c r="I479" i="2"/>
  <c r="J479" i="2"/>
  <c r="E480" i="2"/>
  <c r="I480" i="2"/>
  <c r="J480" i="2"/>
  <c r="E481" i="2"/>
  <c r="I481" i="2"/>
  <c r="E482" i="2"/>
  <c r="I482" i="2"/>
  <c r="J482" i="2"/>
  <c r="E483" i="2"/>
  <c r="I483" i="2"/>
  <c r="J483" i="2"/>
  <c r="E484" i="2"/>
  <c r="I484" i="2"/>
  <c r="E485" i="2"/>
  <c r="F485" i="2"/>
  <c r="I485" i="2"/>
  <c r="J485" i="2"/>
  <c r="E486" i="2"/>
  <c r="F486" i="2"/>
  <c r="I486" i="2"/>
  <c r="J486" i="2"/>
  <c r="E487" i="2"/>
  <c r="I487" i="2"/>
  <c r="J487" i="2"/>
  <c r="E488" i="2"/>
  <c r="I488" i="2"/>
  <c r="J488" i="2"/>
  <c r="E489" i="2"/>
  <c r="F489" i="2"/>
  <c r="I489" i="2"/>
  <c r="J489" i="2"/>
  <c r="E490" i="2"/>
  <c r="I490" i="2"/>
  <c r="E491" i="2"/>
  <c r="F491" i="2"/>
  <c r="I491" i="2"/>
  <c r="J491" i="2"/>
  <c r="E492" i="2"/>
  <c r="I492" i="2"/>
  <c r="J492" i="2"/>
  <c r="E493" i="2"/>
  <c r="F493" i="2"/>
  <c r="I493" i="2"/>
  <c r="E494" i="2"/>
  <c r="F494" i="2"/>
  <c r="I494" i="2"/>
  <c r="E495" i="2"/>
  <c r="F495" i="2"/>
  <c r="I495" i="2"/>
  <c r="E496" i="2"/>
  <c r="F496" i="2"/>
  <c r="I496" i="2"/>
  <c r="E497" i="2"/>
  <c r="I497" i="2"/>
  <c r="J497" i="2"/>
  <c r="E498" i="2"/>
  <c r="F498" i="2"/>
  <c r="I498" i="2"/>
  <c r="E499" i="2"/>
  <c r="I499" i="2"/>
  <c r="J499" i="2"/>
  <c r="E500" i="2"/>
  <c r="I500" i="2"/>
  <c r="J500" i="2"/>
  <c r="E501" i="2"/>
  <c r="I501" i="2"/>
  <c r="J501" i="2"/>
  <c r="E502" i="2"/>
  <c r="I502" i="2"/>
  <c r="J502" i="2"/>
  <c r="E503" i="2"/>
  <c r="F503" i="2"/>
  <c r="I503" i="2"/>
  <c r="J503" i="2"/>
  <c r="E504" i="2"/>
  <c r="I504" i="2"/>
  <c r="J504" i="2"/>
  <c r="E505" i="2"/>
  <c r="F505" i="2"/>
  <c r="I505" i="2"/>
  <c r="J505" i="2"/>
  <c r="E506" i="2"/>
  <c r="F506" i="2"/>
  <c r="I506" i="2"/>
  <c r="J506" i="2"/>
  <c r="E507" i="2"/>
  <c r="F507" i="2"/>
  <c r="I507" i="2"/>
  <c r="J507" i="2"/>
  <c r="E508" i="2"/>
  <c r="F508" i="2"/>
  <c r="I508" i="2"/>
  <c r="J508" i="2"/>
  <c r="E509" i="2"/>
  <c r="I509" i="2"/>
  <c r="J509" i="2"/>
  <c r="E510" i="2"/>
  <c r="I510" i="2"/>
  <c r="J510" i="2"/>
  <c r="E511" i="2"/>
  <c r="F511" i="2"/>
  <c r="I511" i="2"/>
  <c r="J511" i="2"/>
  <c r="E512" i="2"/>
  <c r="F512" i="2"/>
  <c r="I512" i="2"/>
  <c r="E513" i="2"/>
  <c r="I513" i="2"/>
  <c r="J513" i="2"/>
  <c r="E514" i="2"/>
  <c r="I514" i="2"/>
  <c r="E515" i="2"/>
  <c r="I515" i="2"/>
  <c r="E516" i="2"/>
  <c r="I516" i="2"/>
  <c r="J516" i="2"/>
  <c r="E517" i="2"/>
  <c r="F517" i="2"/>
  <c r="I517" i="2"/>
  <c r="J517" i="2"/>
  <c r="E518" i="2"/>
  <c r="I518" i="2"/>
  <c r="J518" i="2"/>
  <c r="E519" i="2"/>
  <c r="F519" i="2"/>
  <c r="I519" i="2"/>
  <c r="E520" i="2"/>
  <c r="F520" i="2"/>
  <c r="I520" i="2"/>
  <c r="E521" i="2"/>
  <c r="I521" i="2"/>
  <c r="J521" i="2"/>
  <c r="E522" i="2"/>
  <c r="F522" i="2"/>
  <c r="I522" i="2"/>
  <c r="E523" i="2"/>
  <c r="F523" i="2"/>
  <c r="I523" i="2"/>
  <c r="E524" i="2"/>
  <c r="F524" i="2"/>
  <c r="I524" i="2"/>
  <c r="E525" i="2"/>
  <c r="F525" i="2"/>
  <c r="I525" i="2"/>
  <c r="E526" i="2"/>
  <c r="F526" i="2"/>
  <c r="I526" i="2"/>
  <c r="E527" i="2"/>
  <c r="F527" i="2"/>
  <c r="I527" i="2"/>
  <c r="E528" i="2"/>
  <c r="F528" i="2"/>
  <c r="I528" i="2"/>
  <c r="J528" i="2"/>
  <c r="E529" i="2"/>
  <c r="F529" i="2"/>
  <c r="I529" i="2"/>
  <c r="J529" i="2"/>
  <c r="E530" i="2"/>
  <c r="I530" i="2"/>
  <c r="E531" i="2"/>
  <c r="F531" i="2"/>
  <c r="I531" i="2"/>
  <c r="E532" i="2"/>
  <c r="F532" i="2"/>
  <c r="I532" i="2"/>
  <c r="E533" i="2"/>
  <c r="I533" i="2"/>
  <c r="E534" i="2"/>
  <c r="F534" i="2"/>
  <c r="I534" i="2"/>
  <c r="E535" i="2"/>
  <c r="I535" i="2"/>
  <c r="J535" i="2"/>
  <c r="E536" i="2"/>
  <c r="F536" i="2"/>
  <c r="I536" i="2"/>
  <c r="E537" i="2"/>
  <c r="I537" i="2"/>
  <c r="J537" i="2"/>
  <c r="E538" i="2"/>
  <c r="I538" i="2"/>
  <c r="J538" i="2"/>
  <c r="E539" i="2"/>
  <c r="F539" i="2"/>
  <c r="I539" i="2"/>
  <c r="E540" i="2"/>
  <c r="F540" i="2"/>
  <c r="I540" i="2"/>
  <c r="E541" i="2"/>
  <c r="F541" i="2"/>
  <c r="I541" i="2"/>
  <c r="E542" i="2"/>
  <c r="F542" i="2"/>
  <c r="I542" i="2"/>
  <c r="E543" i="2"/>
  <c r="F543" i="2"/>
  <c r="I543" i="2"/>
  <c r="J543" i="2"/>
  <c r="E544" i="2"/>
  <c r="I544" i="2"/>
  <c r="J544" i="2"/>
  <c r="E545" i="2"/>
  <c r="I545" i="2"/>
  <c r="J545" i="2"/>
  <c r="E546" i="2"/>
  <c r="F546" i="2"/>
  <c r="I546" i="2"/>
  <c r="J546" i="2"/>
  <c r="E547" i="2"/>
  <c r="F547" i="2"/>
  <c r="I547" i="2"/>
  <c r="J547" i="2"/>
  <c r="E548" i="2"/>
  <c r="I548" i="2"/>
  <c r="J548" i="2"/>
  <c r="E549" i="2"/>
  <c r="I549" i="2"/>
  <c r="J549" i="2"/>
  <c r="E550" i="2"/>
  <c r="I550" i="2"/>
  <c r="E551" i="2"/>
  <c r="F551" i="2"/>
  <c r="I551" i="2"/>
  <c r="E552" i="2"/>
  <c r="F552" i="2"/>
  <c r="I552" i="2"/>
  <c r="J552" i="2"/>
  <c r="E553" i="2"/>
  <c r="F553" i="2"/>
  <c r="I553" i="2"/>
  <c r="J553" i="2"/>
  <c r="E554" i="2"/>
  <c r="I554" i="2"/>
  <c r="J554" i="2"/>
  <c r="E555" i="2"/>
  <c r="I555" i="2"/>
  <c r="J555" i="2"/>
  <c r="E556" i="2"/>
  <c r="I556" i="2"/>
  <c r="J556" i="2"/>
  <c r="E557" i="2"/>
  <c r="F557" i="2"/>
  <c r="I557" i="2"/>
  <c r="J557" i="2"/>
  <c r="E558" i="2"/>
  <c r="F558" i="2"/>
  <c r="I558" i="2"/>
  <c r="J558" i="2"/>
  <c r="E559" i="2"/>
  <c r="I559" i="2"/>
  <c r="E560" i="2"/>
  <c r="I560" i="2"/>
  <c r="E561" i="2"/>
  <c r="F561" i="2"/>
  <c r="I561" i="2"/>
  <c r="J561" i="2"/>
  <c r="E562" i="2"/>
  <c r="I562" i="2"/>
  <c r="J562" i="2"/>
  <c r="E563" i="2"/>
  <c r="I563" i="2"/>
  <c r="J563" i="2"/>
  <c r="E564" i="2"/>
  <c r="I564" i="2"/>
  <c r="E565" i="2"/>
  <c r="F565" i="2"/>
  <c r="I565" i="2"/>
  <c r="J565" i="2"/>
  <c r="E566" i="2"/>
  <c r="F566" i="2"/>
  <c r="I566" i="2"/>
  <c r="E567" i="2"/>
  <c r="F567" i="2"/>
  <c r="I567" i="2"/>
  <c r="E568" i="2"/>
  <c r="I568" i="2"/>
  <c r="E569" i="2"/>
  <c r="I569" i="2"/>
  <c r="J569" i="2"/>
  <c r="E570" i="2"/>
  <c r="I570" i="2"/>
  <c r="E571" i="2"/>
  <c r="I571" i="2"/>
  <c r="J571" i="2"/>
  <c r="E572" i="2"/>
  <c r="I572" i="2"/>
  <c r="J572" i="2"/>
  <c r="E573" i="2"/>
  <c r="I573" i="2"/>
  <c r="J573" i="2"/>
  <c r="E574" i="2"/>
  <c r="F574" i="2"/>
  <c r="I574" i="2"/>
  <c r="J574" i="2"/>
  <c r="E575" i="2"/>
  <c r="I575" i="2"/>
  <c r="J575" i="2"/>
  <c r="E576" i="2"/>
  <c r="I576" i="2"/>
  <c r="J576" i="2"/>
  <c r="E577" i="2"/>
  <c r="F577" i="2"/>
  <c r="I577" i="2"/>
  <c r="E578" i="2"/>
  <c r="I578" i="2"/>
  <c r="J578" i="2"/>
  <c r="E579" i="2"/>
  <c r="F579" i="2"/>
  <c r="I579" i="2"/>
  <c r="E580" i="2"/>
  <c r="I580" i="2"/>
  <c r="J580" i="2"/>
  <c r="E581" i="2"/>
  <c r="F581" i="2"/>
  <c r="I581" i="2"/>
  <c r="J581" i="2"/>
  <c r="E582" i="2"/>
  <c r="I582" i="2"/>
  <c r="J582" i="2"/>
  <c r="E583" i="2"/>
  <c r="F583" i="2"/>
  <c r="I583" i="2"/>
  <c r="E584" i="2"/>
  <c r="F584" i="2"/>
  <c r="I584" i="2"/>
  <c r="E585" i="2"/>
  <c r="I585" i="2"/>
  <c r="J585" i="2"/>
  <c r="E586" i="2"/>
  <c r="F586" i="2"/>
  <c r="I586" i="2"/>
  <c r="J586" i="2"/>
  <c r="E587" i="2"/>
  <c r="I587" i="2"/>
  <c r="E588" i="2"/>
  <c r="F588" i="2"/>
  <c r="I588" i="2"/>
  <c r="E589" i="2"/>
  <c r="I589" i="2"/>
  <c r="J589" i="2"/>
  <c r="E590" i="2"/>
  <c r="I590" i="2"/>
  <c r="E591" i="2"/>
  <c r="F591" i="2"/>
  <c r="I591" i="2"/>
  <c r="E592" i="2"/>
  <c r="F592" i="2"/>
  <c r="I592" i="2"/>
  <c r="E593" i="2"/>
  <c r="F593" i="2"/>
  <c r="I593" i="2"/>
  <c r="E594" i="2"/>
  <c r="I594" i="2"/>
  <c r="J594" i="2"/>
  <c r="E595" i="2"/>
  <c r="F595" i="2"/>
  <c r="I595" i="2"/>
  <c r="J595" i="2"/>
  <c r="E596" i="2"/>
  <c r="F596" i="2"/>
  <c r="I596" i="2"/>
  <c r="J596" i="2"/>
  <c r="E597" i="2"/>
  <c r="F597" i="2"/>
  <c r="I597" i="2"/>
  <c r="E598" i="2"/>
  <c r="F598" i="2"/>
  <c r="I598" i="2"/>
  <c r="E599" i="2"/>
  <c r="F599" i="2"/>
  <c r="I599" i="2"/>
  <c r="E600" i="2"/>
  <c r="I600" i="2"/>
  <c r="J600" i="2"/>
  <c r="E601" i="2"/>
  <c r="F601" i="2"/>
  <c r="I601" i="2"/>
  <c r="E602" i="2"/>
  <c r="F602" i="2"/>
  <c r="I602" i="2"/>
  <c r="J602" i="2"/>
  <c r="E603" i="2"/>
  <c r="F603" i="2"/>
  <c r="I603" i="2"/>
  <c r="J603" i="2"/>
  <c r="E604" i="2"/>
  <c r="F604" i="2"/>
  <c r="I604" i="2"/>
  <c r="E605" i="2"/>
  <c r="F605" i="2"/>
  <c r="I605" i="2"/>
  <c r="E606" i="2"/>
  <c r="F606" i="2"/>
  <c r="I606" i="2"/>
  <c r="E607" i="2"/>
  <c r="F607" i="2"/>
  <c r="I607" i="2"/>
  <c r="E608" i="2"/>
  <c r="F608" i="2"/>
  <c r="I608" i="2"/>
  <c r="E609" i="2"/>
  <c r="F609" i="2"/>
  <c r="I609" i="2"/>
  <c r="E610" i="2"/>
  <c r="F610" i="2"/>
  <c r="I610" i="2"/>
  <c r="E611" i="2"/>
  <c r="F611" i="2"/>
  <c r="I611" i="2"/>
  <c r="J611" i="2"/>
  <c r="E612" i="2"/>
  <c r="F612" i="2"/>
  <c r="I612" i="2"/>
  <c r="J612" i="2"/>
  <c r="E613" i="2"/>
  <c r="F613" i="2"/>
  <c r="I613" i="2"/>
  <c r="J613" i="2"/>
  <c r="E614" i="2"/>
  <c r="F614" i="2"/>
  <c r="I614" i="2"/>
  <c r="E615" i="2"/>
  <c r="F615" i="2"/>
  <c r="I615" i="2"/>
  <c r="J615" i="2"/>
  <c r="E616" i="2"/>
  <c r="F616" i="2"/>
  <c r="I616" i="2"/>
  <c r="J616" i="2"/>
  <c r="E617" i="2"/>
  <c r="F617" i="2"/>
  <c r="I617" i="2"/>
  <c r="J617" i="2"/>
  <c r="E618" i="2"/>
  <c r="F618" i="2"/>
  <c r="I618" i="2"/>
  <c r="E619" i="2"/>
  <c r="F619" i="2"/>
  <c r="I619" i="2"/>
  <c r="E620" i="2"/>
  <c r="F620" i="2"/>
  <c r="I620" i="2"/>
  <c r="J620" i="2"/>
  <c r="E621" i="2"/>
  <c r="F621" i="2"/>
  <c r="I621" i="2"/>
  <c r="J621" i="2"/>
  <c r="E622" i="2"/>
  <c r="F622" i="2"/>
  <c r="I622" i="2"/>
  <c r="J622" i="2"/>
  <c r="E623" i="2"/>
  <c r="F623" i="2"/>
  <c r="I623" i="2"/>
  <c r="J623" i="2"/>
  <c r="E624" i="2"/>
  <c r="F624" i="2"/>
  <c r="I624" i="2"/>
  <c r="J624" i="2"/>
  <c r="E625" i="2"/>
  <c r="F625" i="2"/>
  <c r="I625" i="2"/>
  <c r="E626" i="2"/>
  <c r="F626" i="2"/>
  <c r="I626" i="2"/>
  <c r="E627" i="2"/>
  <c r="F627" i="2"/>
  <c r="I627" i="2"/>
  <c r="J627" i="2"/>
  <c r="E628" i="2"/>
  <c r="F628" i="2"/>
  <c r="I628" i="2"/>
  <c r="J628" i="2"/>
  <c r="E629" i="2"/>
  <c r="I629" i="2"/>
  <c r="E630" i="2"/>
  <c r="F630" i="2"/>
  <c r="I630" i="2"/>
  <c r="J630" i="2"/>
  <c r="E631" i="2"/>
  <c r="F631" i="2"/>
  <c r="I631" i="2"/>
  <c r="J631" i="2"/>
  <c r="E632" i="2"/>
  <c r="F632" i="2"/>
  <c r="I632" i="2"/>
  <c r="E633" i="2"/>
  <c r="F633" i="2"/>
  <c r="I633" i="2"/>
  <c r="J633" i="2"/>
  <c r="E634" i="2"/>
  <c r="F634" i="2"/>
  <c r="I634" i="2"/>
  <c r="J634" i="2"/>
  <c r="E635" i="2"/>
  <c r="F635" i="2"/>
  <c r="I635" i="2"/>
  <c r="J635" i="2"/>
  <c r="E636" i="2"/>
  <c r="F636" i="2"/>
  <c r="I636" i="2"/>
  <c r="J636" i="2"/>
  <c r="E637" i="2"/>
  <c r="I637" i="2"/>
  <c r="J637" i="2"/>
  <c r="E638" i="2"/>
  <c r="I638" i="2"/>
  <c r="J638" i="2"/>
  <c r="E639" i="2"/>
  <c r="F639" i="2"/>
  <c r="I639" i="2"/>
  <c r="E640" i="2"/>
  <c r="I640" i="2"/>
  <c r="J640" i="2"/>
  <c r="E641" i="2"/>
  <c r="F641" i="2"/>
  <c r="I641" i="2"/>
  <c r="E642" i="2"/>
  <c r="I642" i="2"/>
  <c r="E643" i="2"/>
  <c r="F643" i="2"/>
  <c r="I643" i="2"/>
  <c r="J643" i="2"/>
  <c r="E644" i="2"/>
  <c r="I644" i="2"/>
  <c r="J644" i="2"/>
  <c r="E645" i="2"/>
  <c r="I645" i="2"/>
  <c r="J645" i="2"/>
  <c r="E646" i="2"/>
  <c r="F646" i="2"/>
  <c r="I646" i="2"/>
  <c r="E647" i="2"/>
  <c r="I647" i="2"/>
  <c r="J647" i="2"/>
  <c r="E648" i="2"/>
  <c r="I648" i="2"/>
  <c r="J648" i="2"/>
  <c r="E649" i="2"/>
  <c r="F649" i="2"/>
  <c r="I649" i="2"/>
  <c r="J649" i="2"/>
  <c r="E650" i="2"/>
  <c r="F650" i="2"/>
  <c r="I650" i="2"/>
  <c r="E651" i="2"/>
  <c r="F651" i="2"/>
  <c r="I651" i="2"/>
  <c r="J651" i="2"/>
  <c r="E652" i="2"/>
  <c r="I652" i="2"/>
  <c r="J652" i="2"/>
  <c r="E653" i="2"/>
  <c r="I653" i="2"/>
  <c r="J653" i="2"/>
  <c r="E654" i="2"/>
  <c r="F654" i="2"/>
  <c r="I654" i="2"/>
  <c r="J654" i="2"/>
  <c r="E655" i="2"/>
  <c r="F655" i="2"/>
  <c r="I655" i="2"/>
  <c r="J655" i="2"/>
  <c r="E656" i="2"/>
  <c r="F656" i="2"/>
  <c r="I656" i="2"/>
  <c r="E657" i="2"/>
  <c r="F657" i="2"/>
  <c r="I657" i="2"/>
  <c r="J657" i="2"/>
  <c r="E658" i="2"/>
  <c r="I658" i="2"/>
  <c r="J658" i="2"/>
  <c r="E659" i="2"/>
  <c r="I659" i="2"/>
  <c r="J659" i="2"/>
  <c r="E660" i="2"/>
  <c r="I660" i="2"/>
  <c r="J660" i="2"/>
  <c r="E661" i="2"/>
  <c r="I661" i="2"/>
  <c r="E662" i="2"/>
  <c r="I662" i="2"/>
  <c r="J662" i="2"/>
  <c r="E663" i="2"/>
  <c r="I663" i="2"/>
  <c r="J663" i="2"/>
  <c r="E664" i="2"/>
  <c r="I664" i="2"/>
  <c r="J664" i="2"/>
  <c r="E665" i="2"/>
  <c r="I665" i="2"/>
  <c r="E666" i="2"/>
  <c r="I666" i="2"/>
  <c r="E667" i="2"/>
  <c r="I667" i="2"/>
  <c r="E668" i="2"/>
  <c r="F668" i="2"/>
  <c r="I668" i="2"/>
  <c r="E669" i="2"/>
  <c r="F669" i="2"/>
  <c r="I669" i="2"/>
  <c r="J669" i="2"/>
  <c r="E670" i="2"/>
  <c r="I670" i="2"/>
  <c r="J670" i="2"/>
  <c r="E671" i="2"/>
  <c r="F671" i="2"/>
  <c r="I671" i="2"/>
  <c r="E672" i="2"/>
  <c r="I672" i="2"/>
  <c r="E673" i="2"/>
  <c r="I673" i="2"/>
  <c r="E674" i="2"/>
  <c r="F674" i="2"/>
  <c r="I674" i="2"/>
  <c r="E675" i="2"/>
  <c r="I675" i="2"/>
  <c r="E676" i="2"/>
  <c r="I676" i="2"/>
  <c r="J676" i="2"/>
  <c r="E677" i="2"/>
  <c r="F677" i="2"/>
  <c r="I677" i="2"/>
  <c r="E678" i="2"/>
  <c r="F678" i="2"/>
  <c r="I678" i="2"/>
  <c r="E679" i="2"/>
  <c r="F679" i="2"/>
  <c r="I679" i="2"/>
  <c r="E680" i="2"/>
  <c r="F680" i="2"/>
  <c r="I680" i="2"/>
  <c r="E681" i="2"/>
  <c r="I681" i="2"/>
  <c r="J681" i="2"/>
  <c r="E682" i="2"/>
  <c r="I682" i="2"/>
  <c r="J682" i="2"/>
  <c r="E683" i="2"/>
  <c r="F683" i="2"/>
  <c r="I683" i="2"/>
  <c r="E684" i="2"/>
  <c r="F684" i="2"/>
  <c r="I684" i="2"/>
  <c r="E685" i="2"/>
  <c r="F685" i="2"/>
  <c r="I685" i="2"/>
  <c r="E686" i="2"/>
  <c r="I686" i="2"/>
  <c r="J686" i="2"/>
  <c r="E687" i="2"/>
  <c r="F687" i="2"/>
  <c r="I687" i="2"/>
  <c r="E688" i="2"/>
  <c r="I688" i="2"/>
  <c r="J688" i="2"/>
  <c r="E689" i="2"/>
  <c r="F689" i="2"/>
  <c r="I689" i="2"/>
  <c r="E690" i="2"/>
  <c r="I690" i="2"/>
  <c r="J690" i="2"/>
  <c r="E691" i="2"/>
  <c r="I691" i="2"/>
  <c r="J691" i="2"/>
  <c r="E692" i="2"/>
  <c r="F692" i="2"/>
  <c r="I692" i="2"/>
  <c r="J692" i="2"/>
  <c r="E693" i="2"/>
  <c r="F693" i="2"/>
  <c r="I693" i="2"/>
  <c r="J693" i="2"/>
  <c r="E694" i="2"/>
  <c r="I694" i="2"/>
  <c r="J694" i="2"/>
  <c r="E695" i="2"/>
  <c r="I695" i="2"/>
  <c r="J695" i="2"/>
  <c r="E696" i="2"/>
  <c r="I696" i="2"/>
  <c r="J696" i="2"/>
  <c r="E697" i="2"/>
  <c r="I697" i="2"/>
  <c r="J697" i="2"/>
  <c r="E698" i="2"/>
  <c r="F698" i="2"/>
  <c r="I698" i="2"/>
  <c r="J698" i="2"/>
  <c r="E699" i="2"/>
  <c r="F699" i="2"/>
  <c r="I699" i="2"/>
  <c r="E700" i="2"/>
  <c r="F700" i="2"/>
  <c r="I700" i="2"/>
  <c r="E701" i="2"/>
  <c r="F701" i="2"/>
  <c r="I701" i="2"/>
  <c r="J701" i="2"/>
  <c r="E702" i="2"/>
  <c r="F702" i="2"/>
  <c r="I702" i="2"/>
  <c r="J702" i="2"/>
  <c r="E703" i="2"/>
  <c r="F703" i="2"/>
  <c r="I703" i="2"/>
  <c r="J703" i="2"/>
  <c r="E704" i="2"/>
  <c r="F704" i="2"/>
  <c r="I704" i="2"/>
  <c r="E705" i="2"/>
  <c r="I705" i="2"/>
  <c r="J705" i="2"/>
  <c r="E706" i="2"/>
  <c r="F706" i="2"/>
  <c r="I706" i="2"/>
  <c r="J706" i="2"/>
  <c r="E707" i="2"/>
  <c r="I707" i="2"/>
  <c r="E708" i="2"/>
  <c r="I708" i="2"/>
  <c r="E709" i="2"/>
  <c r="I709" i="2"/>
  <c r="E710" i="2"/>
  <c r="I710" i="2"/>
  <c r="E711" i="2"/>
  <c r="F711" i="2"/>
  <c r="I711" i="2"/>
  <c r="E712" i="2"/>
  <c r="I712" i="2"/>
  <c r="J712" i="2"/>
  <c r="E713" i="2"/>
  <c r="F713" i="2"/>
  <c r="I713" i="2"/>
  <c r="E714" i="2"/>
  <c r="F714" i="2"/>
  <c r="I714" i="2"/>
  <c r="E715" i="2"/>
  <c r="F715" i="2"/>
  <c r="I715" i="2"/>
  <c r="E716" i="2"/>
  <c r="F716" i="2"/>
  <c r="I716" i="2"/>
  <c r="E717" i="2"/>
  <c r="F717" i="2"/>
  <c r="I717" i="2"/>
  <c r="E718" i="2"/>
  <c r="F718" i="2"/>
  <c r="I718" i="2"/>
  <c r="J718" i="2"/>
  <c r="E719" i="2"/>
  <c r="F719" i="2"/>
  <c r="I719" i="2"/>
  <c r="E720" i="2"/>
  <c r="F720" i="2"/>
  <c r="I720" i="2"/>
  <c r="J720" i="2"/>
  <c r="E721" i="2"/>
  <c r="I721" i="2"/>
  <c r="E722" i="2"/>
  <c r="I722" i="2"/>
  <c r="J722" i="2"/>
  <c r="E723" i="2"/>
  <c r="F723" i="2"/>
  <c r="I723" i="2"/>
  <c r="E724" i="2"/>
  <c r="I724" i="2"/>
  <c r="J724" i="2"/>
  <c r="E725" i="2"/>
  <c r="I725" i="2"/>
  <c r="J725" i="2"/>
  <c r="E726" i="2"/>
  <c r="F726" i="2"/>
  <c r="I726" i="2"/>
  <c r="E727" i="2"/>
  <c r="I727" i="2"/>
  <c r="J727" i="2"/>
  <c r="E728" i="2"/>
  <c r="F728" i="2"/>
  <c r="I728" i="2"/>
  <c r="E729" i="2"/>
  <c r="F729" i="2"/>
  <c r="I729" i="2"/>
  <c r="J729" i="2"/>
  <c r="E730" i="2"/>
  <c r="F730" i="2"/>
  <c r="I730" i="2"/>
  <c r="E731" i="2"/>
  <c r="F731" i="2"/>
  <c r="I731" i="2"/>
  <c r="E732" i="2"/>
  <c r="F732" i="2"/>
  <c r="I732" i="2"/>
  <c r="J732" i="2"/>
  <c r="E733" i="2"/>
  <c r="I733" i="2"/>
  <c r="J733" i="2"/>
  <c r="E734" i="2"/>
  <c r="I734" i="2"/>
  <c r="J734" i="2"/>
  <c r="E735" i="2"/>
  <c r="I735" i="2"/>
  <c r="J735" i="2"/>
  <c r="E736" i="2"/>
  <c r="I736" i="2"/>
  <c r="J736" i="2"/>
  <c r="E737" i="2"/>
  <c r="I737" i="2"/>
  <c r="J737" i="2"/>
  <c r="E738" i="2"/>
  <c r="I738" i="2"/>
  <c r="J738" i="2"/>
  <c r="E739" i="2"/>
  <c r="I739" i="2"/>
  <c r="J739" i="2"/>
  <c r="E740" i="2"/>
  <c r="F740" i="2"/>
  <c r="I740" i="2"/>
  <c r="J740" i="2"/>
  <c r="E741" i="2"/>
  <c r="F741" i="2"/>
  <c r="I741" i="2"/>
  <c r="E742" i="2"/>
  <c r="F742" i="2"/>
  <c r="I742" i="2"/>
  <c r="E743" i="2"/>
  <c r="F743" i="2"/>
  <c r="I743" i="2"/>
  <c r="E744" i="2"/>
  <c r="I744" i="2"/>
  <c r="J744" i="2"/>
  <c r="E745" i="2"/>
  <c r="F745" i="2"/>
  <c r="I745" i="2"/>
  <c r="J745" i="2"/>
  <c r="E746" i="2"/>
  <c r="F746" i="2"/>
  <c r="I746" i="2"/>
  <c r="E747" i="2"/>
  <c r="F747" i="2"/>
  <c r="I747" i="2"/>
  <c r="J747" i="2"/>
  <c r="E748" i="2"/>
  <c r="F748" i="2"/>
  <c r="I748" i="2"/>
  <c r="E749" i="2"/>
  <c r="I749" i="2"/>
  <c r="J749" i="2"/>
  <c r="E750" i="2"/>
  <c r="I750" i="2"/>
  <c r="J750" i="2"/>
  <c r="E751" i="2"/>
  <c r="F751" i="2"/>
  <c r="I751" i="2"/>
  <c r="E752" i="2"/>
  <c r="I752" i="2"/>
  <c r="E753" i="2"/>
  <c r="I753" i="2"/>
  <c r="J753" i="2"/>
  <c r="E754" i="2"/>
  <c r="F754" i="2"/>
  <c r="I754" i="2"/>
  <c r="E755" i="2"/>
  <c r="F755" i="2"/>
  <c r="I755" i="2"/>
  <c r="E756" i="2"/>
  <c r="F756" i="2"/>
  <c r="I756" i="2"/>
  <c r="E757" i="2"/>
  <c r="F757" i="2"/>
  <c r="I757" i="2"/>
  <c r="E758" i="2"/>
  <c r="F758" i="2"/>
  <c r="I758" i="2"/>
  <c r="E759" i="2"/>
  <c r="F759" i="2"/>
  <c r="I759" i="2"/>
  <c r="E760" i="2"/>
  <c r="I760" i="2"/>
  <c r="J760" i="2"/>
  <c r="E761" i="2"/>
  <c r="I761" i="2"/>
  <c r="E762" i="2"/>
  <c r="F762" i="2"/>
  <c r="I762" i="2"/>
  <c r="E763" i="2"/>
  <c r="F763" i="2"/>
  <c r="I763" i="2"/>
  <c r="E764" i="2"/>
  <c r="F764" i="2"/>
  <c r="I764" i="2"/>
  <c r="E765" i="2"/>
  <c r="F765" i="2"/>
  <c r="I765" i="2"/>
  <c r="E766" i="2"/>
  <c r="F766" i="2"/>
  <c r="I766" i="2"/>
  <c r="E767" i="2"/>
  <c r="I767" i="2"/>
  <c r="J767" i="2"/>
  <c r="E768" i="2"/>
  <c r="F768" i="2"/>
  <c r="I768" i="2"/>
  <c r="E769" i="2"/>
  <c r="F769" i="2"/>
  <c r="I769" i="2"/>
  <c r="E770" i="2"/>
  <c r="F770" i="2"/>
  <c r="I770" i="2"/>
  <c r="E771" i="2"/>
  <c r="F771" i="2"/>
  <c r="I771" i="2"/>
  <c r="E772" i="2"/>
  <c r="F772" i="2"/>
  <c r="I772" i="2"/>
  <c r="E773" i="2"/>
  <c r="I773" i="2"/>
  <c r="J773" i="2"/>
  <c r="E774" i="2"/>
  <c r="F774" i="2"/>
  <c r="I774" i="2"/>
  <c r="J774" i="2"/>
  <c r="E775" i="2"/>
  <c r="I775" i="2"/>
  <c r="E776" i="2"/>
  <c r="I776" i="2"/>
  <c r="J776" i="2"/>
  <c r="E777" i="2"/>
  <c r="F777" i="2"/>
  <c r="I777" i="2"/>
  <c r="E778" i="2"/>
  <c r="F778" i="2"/>
  <c r="I778" i="2"/>
  <c r="E779" i="2"/>
  <c r="I779" i="2"/>
  <c r="E780" i="2"/>
  <c r="I780" i="2"/>
  <c r="E781" i="2"/>
  <c r="I781" i="2"/>
  <c r="E782" i="2"/>
  <c r="I782" i="2"/>
  <c r="J782" i="2"/>
  <c r="E783" i="2"/>
  <c r="F783" i="2"/>
  <c r="I783" i="2"/>
  <c r="J783" i="2"/>
  <c r="E784" i="2"/>
  <c r="F784" i="2"/>
  <c r="I784" i="2"/>
  <c r="E785" i="2"/>
  <c r="F785" i="2"/>
  <c r="I785" i="2"/>
  <c r="J785" i="2"/>
  <c r="E786" i="2"/>
  <c r="I786" i="2"/>
  <c r="E787" i="2"/>
  <c r="F787" i="2"/>
  <c r="I787" i="2"/>
  <c r="E788" i="2"/>
  <c r="F788" i="2"/>
  <c r="I788" i="2"/>
  <c r="E789" i="2"/>
  <c r="F789" i="2"/>
  <c r="I789" i="2"/>
  <c r="E790" i="2"/>
  <c r="F790" i="2"/>
  <c r="I790" i="2"/>
  <c r="E791" i="2"/>
  <c r="I791" i="2"/>
  <c r="E792" i="2"/>
  <c r="F792" i="2"/>
  <c r="I792" i="2"/>
  <c r="J792" i="2"/>
  <c r="E793" i="2"/>
  <c r="I793" i="2"/>
  <c r="J793" i="2"/>
  <c r="E794" i="2"/>
  <c r="I794" i="2"/>
  <c r="J794" i="2"/>
  <c r="E795" i="2"/>
  <c r="I795" i="2"/>
  <c r="J795" i="2"/>
  <c r="E796" i="2"/>
  <c r="I796" i="2"/>
  <c r="E797" i="2"/>
  <c r="I797" i="2"/>
  <c r="J797" i="2"/>
  <c r="E798" i="2"/>
  <c r="I798" i="2"/>
  <c r="J798" i="2"/>
  <c r="E799" i="2"/>
  <c r="I799" i="2"/>
  <c r="J799" i="2"/>
  <c r="E800" i="2"/>
  <c r="F800" i="2"/>
  <c r="I800" i="2"/>
  <c r="E801" i="2"/>
  <c r="F801" i="2"/>
  <c r="I801" i="2"/>
  <c r="E802" i="2"/>
  <c r="I802" i="2"/>
  <c r="J802" i="2"/>
  <c r="E803" i="2"/>
  <c r="I803" i="2"/>
  <c r="J803" i="2"/>
  <c r="E804" i="2"/>
  <c r="F804" i="2"/>
  <c r="I804" i="2"/>
  <c r="E805" i="2"/>
  <c r="I805" i="2"/>
  <c r="J805" i="2"/>
  <c r="E806" i="2"/>
  <c r="I806" i="2"/>
  <c r="E807" i="2"/>
  <c r="I807" i="2"/>
  <c r="E808" i="2"/>
  <c r="F808" i="2"/>
  <c r="I808" i="2"/>
  <c r="E809" i="2"/>
  <c r="I809" i="2"/>
  <c r="J809" i="2"/>
  <c r="E810" i="2"/>
  <c r="I810" i="2"/>
  <c r="J810" i="2"/>
  <c r="E811" i="2"/>
  <c r="F811" i="2"/>
  <c r="I811" i="2"/>
  <c r="E812" i="2"/>
  <c r="F812" i="2"/>
  <c r="I812" i="2"/>
  <c r="E813" i="2"/>
  <c r="F813" i="2"/>
  <c r="I813" i="2"/>
  <c r="E814" i="2"/>
  <c r="F814" i="2"/>
  <c r="I814" i="2"/>
  <c r="J814" i="2"/>
  <c r="E815" i="2"/>
  <c r="I815" i="2"/>
  <c r="J815" i="2"/>
  <c r="E816" i="2"/>
  <c r="I816" i="2"/>
  <c r="J816" i="2"/>
  <c r="E817" i="2"/>
  <c r="I817" i="2"/>
  <c r="E818" i="2"/>
  <c r="I818" i="2"/>
  <c r="J818" i="2"/>
  <c r="E819" i="2"/>
  <c r="F819" i="2"/>
  <c r="I819" i="2"/>
  <c r="J819" i="2"/>
  <c r="E820" i="2"/>
  <c r="F820" i="2"/>
  <c r="I820" i="2"/>
  <c r="J820" i="2"/>
  <c r="E821" i="2"/>
  <c r="I821" i="2"/>
  <c r="E822" i="2"/>
  <c r="F822" i="2"/>
  <c r="I822" i="2"/>
  <c r="J822" i="2"/>
  <c r="E823" i="2"/>
  <c r="I823" i="2"/>
  <c r="J823" i="2"/>
  <c r="E824" i="2"/>
  <c r="I824" i="2"/>
  <c r="E825" i="2"/>
  <c r="F825" i="2"/>
  <c r="I825" i="2"/>
  <c r="E826" i="2"/>
  <c r="F826" i="2"/>
  <c r="I826" i="2"/>
  <c r="E827" i="2"/>
  <c r="F827" i="2"/>
  <c r="I827" i="2"/>
  <c r="E828" i="2"/>
  <c r="F828" i="2"/>
  <c r="I828" i="2"/>
  <c r="E829" i="2"/>
  <c r="F829" i="2"/>
  <c r="I829" i="2"/>
  <c r="J829" i="2"/>
  <c r="E830" i="2"/>
  <c r="I830" i="2"/>
  <c r="E831" i="2"/>
  <c r="I831" i="2"/>
  <c r="E832" i="2"/>
  <c r="F832" i="2"/>
  <c r="I832" i="2"/>
  <c r="E833" i="2"/>
  <c r="I833" i="2"/>
  <c r="J833" i="2"/>
  <c r="E834" i="2"/>
  <c r="F834" i="2"/>
  <c r="I834" i="2"/>
  <c r="E835" i="2"/>
  <c r="F835" i="2"/>
  <c r="I835" i="2"/>
  <c r="E836" i="2"/>
  <c r="I836" i="2"/>
  <c r="J836" i="2"/>
  <c r="E837" i="2"/>
  <c r="I837" i="2"/>
  <c r="J837" i="2"/>
  <c r="E838" i="2"/>
  <c r="I838" i="2"/>
  <c r="J838" i="2"/>
  <c r="E839" i="2"/>
  <c r="I839" i="2"/>
  <c r="J839" i="2"/>
  <c r="E840" i="2"/>
  <c r="I840" i="2"/>
  <c r="E841" i="2"/>
  <c r="I841" i="2"/>
  <c r="J841" i="2"/>
  <c r="E842" i="2"/>
  <c r="I842" i="2"/>
  <c r="J842" i="2"/>
  <c r="E843" i="2"/>
  <c r="F843" i="2"/>
  <c r="I843" i="2"/>
  <c r="E844" i="2"/>
  <c r="F844" i="2"/>
  <c r="I844" i="2"/>
  <c r="E845" i="2"/>
  <c r="I845" i="2"/>
  <c r="J845" i="2"/>
  <c r="E846" i="2"/>
  <c r="I846" i="2"/>
  <c r="J846" i="2"/>
  <c r="E847" i="2"/>
  <c r="I847" i="2"/>
  <c r="E848" i="2"/>
  <c r="I848" i="2"/>
  <c r="J848" i="2"/>
  <c r="E849" i="2"/>
  <c r="I849" i="2"/>
  <c r="J849" i="2"/>
  <c r="E850" i="2"/>
  <c r="I850" i="2"/>
  <c r="J850" i="2"/>
  <c r="E851" i="2"/>
  <c r="I851" i="2"/>
  <c r="J851" i="2"/>
  <c r="E852" i="2"/>
  <c r="F852" i="2"/>
  <c r="I852" i="2"/>
  <c r="E853" i="2"/>
  <c r="F853" i="2"/>
  <c r="I853" i="2"/>
  <c r="E854" i="2"/>
  <c r="I854" i="2"/>
  <c r="E855" i="2"/>
  <c r="I855" i="2"/>
  <c r="E856" i="2"/>
  <c r="I856" i="2"/>
  <c r="E857" i="2"/>
  <c r="I857" i="2"/>
  <c r="E858" i="2"/>
  <c r="I858" i="2"/>
  <c r="E859" i="2"/>
  <c r="I859" i="2"/>
  <c r="E860" i="2"/>
  <c r="I860" i="2"/>
  <c r="E861" i="2"/>
  <c r="I861" i="2"/>
  <c r="E862" i="2"/>
  <c r="I862" i="2"/>
  <c r="E863" i="2"/>
  <c r="I863" i="2"/>
  <c r="E864" i="2"/>
  <c r="I864" i="2"/>
  <c r="E865" i="2"/>
  <c r="I865" i="2"/>
  <c r="E866" i="2"/>
  <c r="I866" i="2"/>
  <c r="E867" i="2"/>
  <c r="I867" i="2"/>
  <c r="E868" i="2"/>
  <c r="I868" i="2"/>
  <c r="E869" i="2"/>
  <c r="I869" i="2"/>
  <c r="E870" i="2"/>
  <c r="I870" i="2"/>
  <c r="E871" i="2"/>
  <c r="I871" i="2"/>
  <c r="E872" i="2"/>
  <c r="I872" i="2"/>
  <c r="E873" i="2"/>
  <c r="I873" i="2"/>
  <c r="E874" i="2"/>
  <c r="I874" i="2"/>
  <c r="E875" i="2"/>
  <c r="I875" i="2"/>
  <c r="E876" i="2"/>
  <c r="I876" i="2"/>
  <c r="E877" i="2"/>
  <c r="I877" i="2"/>
  <c r="E878" i="2"/>
  <c r="I878" i="2"/>
  <c r="E879" i="2"/>
  <c r="I879" i="2"/>
  <c r="E880" i="2"/>
  <c r="I880" i="2"/>
  <c r="E881" i="2"/>
  <c r="I881" i="2"/>
  <c r="E882" i="2"/>
  <c r="I882" i="2"/>
  <c r="E883" i="2"/>
  <c r="I883" i="2"/>
  <c r="E884" i="2"/>
  <c r="I884" i="2"/>
  <c r="E885" i="2"/>
  <c r="F885" i="2"/>
  <c r="I885" i="2"/>
  <c r="E886" i="2"/>
  <c r="I886" i="2"/>
  <c r="E887" i="2"/>
  <c r="I887" i="2"/>
  <c r="E888" i="2"/>
  <c r="I888" i="2"/>
  <c r="E889" i="2"/>
  <c r="I889" i="2"/>
  <c r="E890" i="2"/>
  <c r="I890" i="2"/>
  <c r="E891" i="2"/>
  <c r="I891" i="2"/>
  <c r="E892" i="2"/>
  <c r="I892" i="2"/>
  <c r="E893" i="2"/>
  <c r="I893" i="2"/>
  <c r="E894" i="2"/>
  <c r="I894" i="2"/>
  <c r="E895" i="2"/>
  <c r="I895" i="2"/>
  <c r="E896" i="2"/>
  <c r="I896" i="2"/>
  <c r="E897" i="2"/>
  <c r="I897" i="2"/>
  <c r="E898" i="2"/>
  <c r="I898" i="2"/>
  <c r="E899" i="2"/>
  <c r="I899" i="2"/>
  <c r="E900" i="2"/>
  <c r="I900" i="2"/>
  <c r="E901" i="2"/>
  <c r="I901" i="2"/>
  <c r="E902" i="2"/>
  <c r="I902" i="2"/>
  <c r="E903" i="2"/>
  <c r="I903" i="2"/>
  <c r="E904" i="2"/>
  <c r="I904" i="2"/>
  <c r="E905" i="2"/>
  <c r="I905" i="2"/>
  <c r="E906" i="2"/>
  <c r="I906" i="2"/>
  <c r="E907" i="2"/>
  <c r="I907" i="2"/>
  <c r="E908" i="2"/>
  <c r="I908" i="2"/>
  <c r="E909" i="2"/>
  <c r="I909" i="2"/>
  <c r="E910" i="2"/>
  <c r="I910" i="2"/>
  <c r="E911" i="2"/>
  <c r="I911" i="2"/>
  <c r="E912" i="2"/>
  <c r="I912" i="2"/>
  <c r="E913" i="2"/>
  <c r="I913" i="2"/>
  <c r="E914" i="2"/>
  <c r="I914" i="2"/>
  <c r="E915" i="2"/>
  <c r="I915" i="2"/>
  <c r="E916" i="2"/>
  <c r="I916" i="2"/>
  <c r="E917" i="2"/>
  <c r="I917" i="2"/>
  <c r="E918" i="2"/>
  <c r="I918" i="2"/>
  <c r="E919" i="2"/>
  <c r="I919" i="2"/>
  <c r="E920" i="2"/>
  <c r="I920" i="2"/>
  <c r="E921" i="2"/>
  <c r="I921" i="2"/>
  <c r="E922" i="2"/>
  <c r="I922" i="2"/>
  <c r="E923" i="2"/>
  <c r="I923" i="2"/>
  <c r="E924" i="2"/>
  <c r="I924" i="2"/>
  <c r="E925" i="2"/>
  <c r="I925" i="2"/>
  <c r="E926" i="2"/>
  <c r="I926" i="2"/>
  <c r="E927" i="2"/>
  <c r="I927" i="2"/>
  <c r="E928" i="2"/>
  <c r="I928" i="2"/>
  <c r="E929" i="2"/>
  <c r="I929" i="2"/>
  <c r="E930" i="2"/>
  <c r="I930" i="2"/>
  <c r="E931" i="2"/>
  <c r="I931" i="2"/>
  <c r="E932" i="2"/>
  <c r="I932" i="2"/>
  <c r="E933" i="2"/>
  <c r="I933" i="2"/>
  <c r="E934" i="2"/>
  <c r="I934" i="2"/>
  <c r="E935" i="2"/>
  <c r="I935" i="2"/>
  <c r="E936" i="2"/>
  <c r="I936" i="2"/>
  <c r="E937" i="2"/>
  <c r="I937" i="2"/>
  <c r="E938" i="2"/>
  <c r="I938" i="2"/>
  <c r="E939" i="2"/>
  <c r="I939" i="2"/>
  <c r="E940" i="2"/>
  <c r="I940" i="2"/>
  <c r="E941" i="2"/>
  <c r="I941" i="2"/>
  <c r="E942" i="2"/>
  <c r="I942" i="2"/>
  <c r="E943" i="2"/>
  <c r="I943" i="2"/>
  <c r="E944" i="2"/>
  <c r="I944" i="2"/>
  <c r="E945" i="2"/>
  <c r="I945" i="2"/>
  <c r="E946" i="2"/>
  <c r="I946" i="2"/>
  <c r="E947" i="2"/>
  <c r="I947" i="2"/>
  <c r="E948" i="2"/>
  <c r="I948" i="2"/>
  <c r="E949" i="2"/>
  <c r="I949" i="2"/>
  <c r="E950" i="2"/>
  <c r="I950" i="2"/>
  <c r="E951" i="2"/>
  <c r="I951" i="2"/>
  <c r="E952" i="2"/>
  <c r="I952" i="2"/>
  <c r="E953" i="2"/>
  <c r="I953" i="2"/>
  <c r="E954" i="2"/>
  <c r="I954" i="2"/>
  <c r="E955" i="2"/>
  <c r="I955" i="2"/>
  <c r="E956" i="2"/>
  <c r="I956" i="2"/>
  <c r="E957" i="2"/>
  <c r="I957" i="2"/>
  <c r="E958" i="2"/>
  <c r="I958" i="2"/>
  <c r="E959" i="2"/>
  <c r="I959" i="2"/>
  <c r="E960" i="2"/>
  <c r="I960" i="2"/>
  <c r="E961" i="2"/>
  <c r="I961" i="2"/>
  <c r="E962" i="2"/>
  <c r="I962" i="2"/>
  <c r="E963" i="2"/>
  <c r="I963" i="2"/>
  <c r="E964" i="2"/>
  <c r="I964" i="2"/>
  <c r="E965" i="2"/>
  <c r="I965" i="2"/>
  <c r="E966" i="2"/>
  <c r="I966" i="2"/>
  <c r="E967" i="2"/>
  <c r="I967" i="2"/>
  <c r="E968" i="2"/>
  <c r="I968" i="2"/>
  <c r="E969" i="2"/>
  <c r="I969" i="2"/>
  <c r="E970" i="2"/>
  <c r="I970" i="2"/>
  <c r="E971" i="2"/>
  <c r="I971" i="2"/>
  <c r="E972" i="2"/>
  <c r="I972" i="2"/>
  <c r="E973" i="2"/>
  <c r="I973" i="2"/>
  <c r="E974" i="2"/>
  <c r="I974" i="2"/>
  <c r="E975" i="2"/>
  <c r="I975" i="2"/>
  <c r="E976" i="2"/>
  <c r="I976" i="2"/>
  <c r="E977" i="2"/>
  <c r="I977" i="2"/>
  <c r="E978" i="2"/>
  <c r="I978" i="2"/>
  <c r="E979" i="2"/>
  <c r="I979" i="2"/>
  <c r="E980" i="2"/>
  <c r="I980" i="2"/>
  <c r="E981" i="2"/>
  <c r="I981" i="2"/>
  <c r="E982" i="2"/>
  <c r="I982" i="2"/>
  <c r="E983" i="2"/>
  <c r="I983" i="2"/>
  <c r="E984" i="2"/>
  <c r="I984" i="2"/>
  <c r="E985" i="2"/>
  <c r="I985" i="2"/>
  <c r="J985" i="2"/>
  <c r="E986" i="2"/>
  <c r="F986" i="2"/>
  <c r="I986" i="2"/>
  <c r="E987" i="2"/>
  <c r="I987" i="2"/>
  <c r="J987" i="2"/>
  <c r="E988" i="2"/>
  <c r="I988" i="2"/>
  <c r="J988" i="2"/>
  <c r="E989" i="2"/>
  <c r="I989" i="2"/>
  <c r="J989" i="2"/>
  <c r="E990" i="2"/>
  <c r="F990" i="2"/>
  <c r="I990" i="2"/>
  <c r="J990" i="2"/>
  <c r="E991" i="2"/>
  <c r="F991" i="2"/>
  <c r="I991" i="2"/>
  <c r="E992" i="2"/>
  <c r="F992" i="2"/>
  <c r="I992" i="2"/>
  <c r="J992" i="2"/>
  <c r="E993" i="2"/>
  <c r="F993" i="2"/>
  <c r="I993" i="2"/>
  <c r="J993" i="2"/>
  <c r="E994" i="2"/>
  <c r="F994" i="2"/>
  <c r="I994" i="2"/>
  <c r="E995" i="2"/>
  <c r="I995" i="2"/>
  <c r="J995" i="2"/>
  <c r="E996" i="2"/>
  <c r="F996" i="2"/>
  <c r="I996" i="2"/>
  <c r="E997" i="2"/>
  <c r="F997" i="2"/>
  <c r="I997" i="2"/>
  <c r="J997" i="2"/>
  <c r="E998" i="2"/>
  <c r="F998" i="2"/>
  <c r="I998" i="2"/>
  <c r="J998" i="2"/>
  <c r="E999" i="2"/>
  <c r="I999" i="2"/>
  <c r="J999" i="2"/>
  <c r="E1000" i="2"/>
  <c r="F1000" i="2"/>
  <c r="I1000" i="2"/>
  <c r="J1000" i="2"/>
  <c r="E1001" i="2"/>
  <c r="F1001" i="2"/>
  <c r="I1001" i="2"/>
  <c r="J1001" i="2"/>
  <c r="E1002" i="2"/>
  <c r="I1002" i="2"/>
  <c r="J1002" i="2"/>
  <c r="E1003" i="2"/>
  <c r="F1003" i="2"/>
  <c r="I1003" i="2"/>
  <c r="E1004" i="2"/>
  <c r="F1004" i="2"/>
  <c r="I1004" i="2"/>
  <c r="J1004" i="2"/>
  <c r="E1005" i="2"/>
  <c r="F1005" i="2"/>
  <c r="I1005" i="2"/>
  <c r="E1006" i="2"/>
  <c r="I1006" i="2"/>
  <c r="E1007" i="2"/>
  <c r="F1007" i="2"/>
  <c r="I1007" i="2"/>
  <c r="J1007" i="2"/>
  <c r="E1008" i="2"/>
  <c r="F1008" i="2"/>
  <c r="I1008" i="2"/>
  <c r="J1008" i="2"/>
  <c r="E1009" i="2"/>
  <c r="F1009" i="2"/>
  <c r="I1009" i="2"/>
  <c r="E1010" i="2"/>
  <c r="F1010" i="2"/>
  <c r="I1010" i="2"/>
  <c r="E1011" i="2"/>
  <c r="F1011" i="2"/>
  <c r="I1011" i="2"/>
  <c r="E1012" i="2"/>
  <c r="F1012" i="2"/>
  <c r="I1012" i="2"/>
  <c r="E1013" i="2"/>
  <c r="I1013" i="2"/>
  <c r="E1014" i="2"/>
  <c r="I1014" i="2"/>
  <c r="E1015" i="2"/>
  <c r="I1015" i="2"/>
  <c r="E1016" i="2"/>
  <c r="I1016" i="2"/>
  <c r="J1016" i="2"/>
  <c r="E1017" i="2"/>
  <c r="F1017" i="2"/>
  <c r="I1017" i="2"/>
  <c r="J1017" i="2"/>
  <c r="E1018" i="2"/>
  <c r="F1018" i="2"/>
  <c r="I1018" i="2"/>
  <c r="J1018" i="2"/>
  <c r="E1019" i="2"/>
  <c r="F1019" i="2"/>
  <c r="I1019" i="2"/>
  <c r="J1019" i="2"/>
  <c r="E1020" i="2"/>
  <c r="F1020" i="2"/>
  <c r="I1020" i="2"/>
  <c r="J1020" i="2"/>
  <c r="E1021" i="2"/>
  <c r="F1021" i="2"/>
  <c r="I1021" i="2"/>
  <c r="E1022" i="2"/>
  <c r="F1022" i="2"/>
  <c r="I1022" i="2"/>
  <c r="E1023" i="2"/>
  <c r="I1023" i="2"/>
  <c r="J1023" i="2"/>
  <c r="E1024" i="2"/>
  <c r="I1024" i="2"/>
  <c r="J1024" i="2"/>
  <c r="E1025" i="2"/>
  <c r="F1025" i="2"/>
  <c r="I1025" i="2"/>
  <c r="J1025" i="2"/>
  <c r="E1026" i="2"/>
  <c r="I1026" i="2"/>
  <c r="J1026" i="2"/>
  <c r="E1027" i="2"/>
  <c r="F1027" i="2"/>
  <c r="I1027" i="2"/>
  <c r="J1027" i="2"/>
  <c r="E1028" i="2"/>
  <c r="F1028" i="2"/>
  <c r="I1028" i="2"/>
  <c r="J1028" i="2"/>
  <c r="E1029" i="2"/>
  <c r="I1029" i="2"/>
  <c r="J1029" i="2"/>
  <c r="E1030" i="2"/>
  <c r="I1030" i="2"/>
  <c r="J1030" i="2"/>
  <c r="E1031" i="2"/>
  <c r="I1031" i="2"/>
  <c r="J1031" i="2"/>
  <c r="E1032" i="2"/>
  <c r="I1032" i="2"/>
  <c r="J1032" i="2"/>
  <c r="E1033" i="2"/>
  <c r="F1033" i="2"/>
  <c r="I1033" i="2"/>
  <c r="J1033" i="2"/>
  <c r="E1034" i="2"/>
  <c r="F1034" i="2"/>
  <c r="I1034" i="2"/>
  <c r="J1034" i="2"/>
  <c r="E1035" i="2"/>
  <c r="I1035" i="2"/>
  <c r="E1036" i="2"/>
  <c r="F1036" i="2"/>
  <c r="I1036" i="2"/>
  <c r="J1036" i="2"/>
  <c r="E1037" i="2"/>
  <c r="F1037" i="2"/>
  <c r="I1037" i="2"/>
  <c r="J1037" i="2"/>
  <c r="E1038" i="2"/>
  <c r="I1038" i="2"/>
  <c r="J1038" i="2"/>
  <c r="E1039" i="2"/>
  <c r="I1039" i="2"/>
  <c r="J1039" i="2"/>
  <c r="E1040" i="2"/>
  <c r="I1040" i="2"/>
  <c r="J1040" i="2"/>
  <c r="E1041" i="2"/>
  <c r="I1041" i="2"/>
  <c r="J1041" i="2"/>
  <c r="E1042" i="2"/>
  <c r="I1042" i="2"/>
  <c r="J1042" i="2"/>
  <c r="E1043" i="2"/>
  <c r="F1043" i="2"/>
  <c r="I1043" i="2"/>
  <c r="J1043" i="2"/>
  <c r="E1044" i="2"/>
  <c r="F1044" i="2"/>
  <c r="I1044" i="2"/>
  <c r="J1044" i="2"/>
  <c r="E1045" i="2"/>
  <c r="F1045" i="2"/>
  <c r="I1045" i="2"/>
  <c r="J1045" i="2"/>
  <c r="E1046" i="2"/>
  <c r="F1046" i="2"/>
  <c r="I1046" i="2"/>
  <c r="E1047" i="2"/>
  <c r="F1047" i="2"/>
  <c r="I1047" i="2"/>
  <c r="J1047" i="2"/>
  <c r="E1048" i="2"/>
  <c r="I1048" i="2"/>
  <c r="J1048" i="2"/>
  <c r="E1049" i="2"/>
  <c r="I1049" i="2"/>
  <c r="J1049" i="2"/>
  <c r="E1050" i="2"/>
  <c r="F1050" i="2"/>
  <c r="I1050" i="2"/>
  <c r="J1050" i="2"/>
  <c r="E1051" i="2"/>
  <c r="F1051" i="2"/>
  <c r="I1051" i="2"/>
  <c r="E1052" i="2"/>
  <c r="I1052" i="2"/>
  <c r="E1053" i="2"/>
  <c r="F1053" i="2"/>
  <c r="I1053" i="2"/>
  <c r="J1053" i="2"/>
  <c r="E1054" i="2"/>
  <c r="I1054" i="2"/>
  <c r="J1054" i="2"/>
  <c r="E1055" i="2"/>
  <c r="F1055" i="2"/>
  <c r="I1055" i="2"/>
  <c r="E1056" i="2"/>
  <c r="F1056" i="2"/>
  <c r="I1056" i="2"/>
  <c r="E1057" i="2"/>
  <c r="I1057" i="2"/>
  <c r="E1058" i="2"/>
  <c r="I1058" i="2"/>
  <c r="E1059" i="2"/>
  <c r="I1059" i="2"/>
  <c r="E1060" i="2"/>
  <c r="I1060" i="2"/>
  <c r="J1060" i="2"/>
  <c r="E1061" i="2"/>
  <c r="F1061" i="2"/>
  <c r="I1061" i="2"/>
  <c r="E1062" i="2"/>
  <c r="F1062" i="2"/>
  <c r="I1062" i="2"/>
  <c r="J1062" i="2"/>
  <c r="E1063" i="2"/>
  <c r="F1063" i="2"/>
  <c r="I1063" i="2"/>
  <c r="J1063" i="2"/>
  <c r="E1064" i="2"/>
  <c r="I1064" i="2"/>
  <c r="E1065" i="2"/>
  <c r="I1065" i="2"/>
  <c r="E1066" i="2"/>
  <c r="F1066" i="2"/>
  <c r="I1066" i="2"/>
  <c r="J1066" i="2"/>
  <c r="E1067" i="2"/>
  <c r="I1067" i="2"/>
  <c r="E1068" i="2"/>
  <c r="I1068" i="2"/>
  <c r="J1068" i="2"/>
  <c r="E1069" i="2"/>
  <c r="I1069" i="2"/>
  <c r="J1069" i="2"/>
  <c r="E1070" i="2"/>
  <c r="F1070" i="2"/>
  <c r="I1070" i="2"/>
  <c r="J1070" i="2"/>
  <c r="E1071" i="2"/>
  <c r="I1071" i="2"/>
  <c r="J1071" i="2"/>
  <c r="E1072" i="2"/>
  <c r="F1072" i="2"/>
  <c r="I1072" i="2"/>
  <c r="E1073" i="2"/>
  <c r="F1073" i="2"/>
  <c r="I1073" i="2"/>
  <c r="J1073" i="2"/>
  <c r="E1074" i="2"/>
  <c r="F1074" i="2"/>
  <c r="I1074" i="2"/>
  <c r="J1074" i="2"/>
  <c r="E1075" i="2"/>
  <c r="F1075" i="2"/>
  <c r="I1075" i="2"/>
  <c r="J1075" i="2"/>
  <c r="E1076" i="2"/>
  <c r="F1076" i="2"/>
  <c r="I1076" i="2"/>
  <c r="J1076" i="2"/>
  <c r="E1077" i="2"/>
  <c r="I1077" i="2"/>
  <c r="E1078" i="2"/>
  <c r="F1078" i="2"/>
  <c r="I1078" i="2"/>
  <c r="J1078" i="2"/>
  <c r="E1079" i="2"/>
  <c r="F1079" i="2"/>
  <c r="I1079" i="2"/>
  <c r="E1080" i="2"/>
  <c r="F1080" i="2"/>
  <c r="I1080" i="2"/>
  <c r="E1081" i="2"/>
  <c r="F1081" i="2"/>
  <c r="I1081" i="2"/>
  <c r="E1082" i="2"/>
  <c r="F1082" i="2"/>
  <c r="I1082" i="2"/>
  <c r="E1083" i="2"/>
  <c r="F1083" i="2"/>
  <c r="I1083" i="2"/>
  <c r="E1084" i="2"/>
  <c r="F1084" i="2"/>
  <c r="I1084" i="2"/>
  <c r="E1085" i="2"/>
  <c r="F1085" i="2"/>
  <c r="I1085" i="2"/>
  <c r="E1086" i="2"/>
  <c r="F1086" i="2"/>
  <c r="I1086" i="2"/>
  <c r="E1087" i="2"/>
  <c r="F1087" i="2"/>
  <c r="I1087" i="2"/>
  <c r="E1088" i="2"/>
  <c r="F1088" i="2"/>
  <c r="I1088" i="2"/>
  <c r="E1089" i="2"/>
  <c r="F1089" i="2"/>
  <c r="I1089" i="2"/>
  <c r="E1090" i="2"/>
  <c r="F1090" i="2"/>
  <c r="I1090" i="2"/>
  <c r="E1091" i="2"/>
  <c r="F1091" i="2"/>
  <c r="I1091" i="2"/>
  <c r="E1092" i="2"/>
  <c r="F1092" i="2"/>
  <c r="I1092" i="2"/>
  <c r="E1093" i="2"/>
  <c r="F1093" i="2"/>
  <c r="I1093" i="2"/>
  <c r="E1094" i="2"/>
  <c r="F1094" i="2"/>
  <c r="I1094" i="2"/>
  <c r="E1095" i="2"/>
  <c r="F1095" i="2"/>
  <c r="I1095" i="2"/>
  <c r="E1096" i="2"/>
  <c r="F1096" i="2"/>
  <c r="I1096" i="2"/>
  <c r="E1097" i="2"/>
  <c r="F1097" i="2"/>
  <c r="I1097" i="2"/>
  <c r="E1098" i="2"/>
  <c r="F1098" i="2"/>
  <c r="I1098" i="2"/>
  <c r="E1099" i="2"/>
  <c r="F1099" i="2"/>
  <c r="I1099" i="2"/>
  <c r="E1100" i="2"/>
  <c r="I1100" i="2"/>
  <c r="E1101" i="2"/>
  <c r="F1101" i="2"/>
  <c r="I1101" i="2"/>
  <c r="E1102" i="2"/>
  <c r="F1102" i="2"/>
  <c r="I1102" i="2"/>
  <c r="E1103" i="2"/>
  <c r="F1103" i="2"/>
  <c r="I1103" i="2"/>
  <c r="E1104" i="2"/>
  <c r="I1104" i="2"/>
  <c r="J1104" i="2"/>
  <c r="E1105" i="2"/>
  <c r="F1105" i="2"/>
  <c r="I1105" i="2"/>
  <c r="J1105" i="2"/>
  <c r="E1106" i="2"/>
  <c r="I1106" i="2"/>
  <c r="J1106" i="2"/>
  <c r="E1107" i="2"/>
  <c r="F1107" i="2"/>
  <c r="I1107" i="2"/>
  <c r="J1107" i="2"/>
  <c r="E1108" i="2"/>
  <c r="I1108" i="2"/>
  <c r="E1109" i="2"/>
  <c r="I1109" i="2"/>
  <c r="E1110" i="2"/>
  <c r="I1110" i="2"/>
  <c r="J1110" i="2"/>
  <c r="E1111" i="2"/>
  <c r="F1111" i="2"/>
  <c r="I1111" i="2"/>
  <c r="J1111" i="2"/>
  <c r="E1112" i="2"/>
  <c r="I1112" i="2"/>
  <c r="E1113" i="2"/>
  <c r="F1113" i="2"/>
  <c r="I1113" i="2"/>
  <c r="J1113" i="2"/>
  <c r="E1114" i="2"/>
  <c r="F1114" i="2"/>
  <c r="I1114" i="2"/>
  <c r="E1115" i="2"/>
  <c r="I1115" i="2"/>
  <c r="J1115" i="2"/>
  <c r="E1116" i="2"/>
  <c r="I1116" i="2"/>
  <c r="J1116" i="2"/>
  <c r="E1117" i="2"/>
  <c r="F1117" i="2"/>
  <c r="I1117" i="2"/>
  <c r="J1117" i="2"/>
  <c r="E1118" i="2"/>
  <c r="I1118" i="2"/>
  <c r="J1118" i="2"/>
  <c r="E1119" i="2"/>
  <c r="I1119" i="2"/>
  <c r="J1119" i="2"/>
  <c r="E1120" i="2"/>
  <c r="I1120" i="2"/>
  <c r="J1120" i="2"/>
  <c r="E1121" i="2"/>
  <c r="F1121" i="2"/>
  <c r="I1121" i="2"/>
  <c r="E1122" i="2"/>
  <c r="I1122" i="2"/>
  <c r="J1122" i="2"/>
  <c r="E1123" i="2"/>
  <c r="F1123" i="2"/>
  <c r="I1123" i="2"/>
  <c r="E1124" i="2"/>
  <c r="F1124" i="2"/>
  <c r="I1124" i="2"/>
  <c r="E1125" i="2"/>
  <c r="F1125" i="2"/>
  <c r="I1125" i="2"/>
  <c r="E1126" i="2"/>
  <c r="F1126" i="2"/>
  <c r="I1126" i="2"/>
  <c r="E1127" i="2"/>
  <c r="F1127" i="2"/>
  <c r="I1127" i="2"/>
  <c r="E1128" i="2"/>
  <c r="F1128" i="2"/>
  <c r="I1128" i="2"/>
  <c r="J1128" i="2"/>
  <c r="E1129" i="2"/>
  <c r="F1129" i="2"/>
  <c r="I1129" i="2"/>
  <c r="E1130" i="2"/>
  <c r="F1130" i="2"/>
  <c r="I1130" i="2"/>
  <c r="J1130" i="2"/>
  <c r="E1131" i="2"/>
  <c r="F1131" i="2"/>
  <c r="I1131" i="2"/>
  <c r="E1132" i="2"/>
  <c r="F1132" i="2"/>
  <c r="I1132" i="2"/>
  <c r="J1132" i="2"/>
  <c r="E1133" i="2"/>
  <c r="F1133" i="2"/>
  <c r="I1133" i="2"/>
  <c r="J1133" i="2"/>
  <c r="E1134" i="2"/>
  <c r="F1134" i="2"/>
  <c r="I1134" i="2"/>
  <c r="J1134" i="2"/>
  <c r="E1135" i="2"/>
  <c r="F1135" i="2"/>
  <c r="I1135" i="2"/>
  <c r="E1136" i="2"/>
  <c r="F1136" i="2"/>
  <c r="I1136" i="2"/>
  <c r="J1136" i="2"/>
  <c r="E1137" i="2"/>
  <c r="I1137" i="2"/>
  <c r="E1138" i="2"/>
  <c r="I1138" i="2"/>
  <c r="E1139" i="2"/>
  <c r="F1139" i="2"/>
  <c r="I1139" i="2"/>
  <c r="E1140" i="2"/>
  <c r="F1140" i="2"/>
  <c r="I1140" i="2"/>
  <c r="J1140" i="2"/>
  <c r="E1141" i="2"/>
  <c r="F1141" i="2"/>
  <c r="I1141" i="2"/>
  <c r="E1142" i="2"/>
  <c r="F1142" i="2"/>
  <c r="I1142" i="2"/>
  <c r="E1143" i="2"/>
  <c r="F1143" i="2"/>
  <c r="I1143" i="2"/>
  <c r="J1143" i="2"/>
  <c r="E1144" i="2"/>
  <c r="F1144" i="2"/>
  <c r="I1144" i="2"/>
  <c r="J1144" i="2"/>
  <c r="E1145" i="2"/>
  <c r="I1145" i="2"/>
  <c r="J1145" i="2"/>
  <c r="E1146" i="2"/>
  <c r="F1146" i="2"/>
  <c r="I1146" i="2"/>
  <c r="E1147" i="2"/>
  <c r="F1147" i="2"/>
  <c r="I1147" i="2"/>
  <c r="E1148" i="2"/>
  <c r="F1148" i="2"/>
  <c r="I1148" i="2"/>
  <c r="E1149" i="2"/>
  <c r="F1149" i="2"/>
  <c r="I1149" i="2"/>
  <c r="J1149" i="2"/>
  <c r="E1150" i="2"/>
  <c r="F1150" i="2"/>
  <c r="I1150" i="2"/>
  <c r="J1150" i="2"/>
  <c r="E1151" i="2"/>
  <c r="F1151" i="2"/>
  <c r="I1151" i="2"/>
  <c r="J1151" i="2"/>
  <c r="E1152" i="2"/>
  <c r="F1152" i="2"/>
  <c r="I1152" i="2"/>
  <c r="J1152" i="2"/>
  <c r="E1153" i="2"/>
  <c r="F1153" i="2"/>
  <c r="I1153" i="2"/>
  <c r="J1153" i="2"/>
  <c r="E1154" i="2"/>
  <c r="F1154" i="2"/>
  <c r="I1154" i="2"/>
  <c r="J1154" i="2"/>
  <c r="E1155" i="2"/>
  <c r="F1155" i="2"/>
  <c r="I1155" i="2"/>
  <c r="J1155" i="2"/>
  <c r="E1156" i="2"/>
  <c r="F1156" i="2"/>
  <c r="I1156" i="2"/>
  <c r="J1156" i="2"/>
  <c r="E1157" i="2"/>
  <c r="I1157" i="2"/>
  <c r="J1157" i="2"/>
  <c r="E1158" i="2"/>
  <c r="I1158" i="2"/>
  <c r="J1158" i="2"/>
  <c r="E1159" i="2"/>
  <c r="F1159" i="2"/>
  <c r="I1159" i="2"/>
  <c r="J1159" i="2"/>
  <c r="E1160" i="2"/>
  <c r="I1160" i="2"/>
  <c r="J1160" i="2"/>
  <c r="E1161" i="2"/>
  <c r="I1161" i="2"/>
  <c r="E1162" i="2"/>
  <c r="F1162" i="2"/>
  <c r="I1162" i="2"/>
  <c r="J1162" i="2"/>
  <c r="E1163" i="2"/>
  <c r="I1163" i="2"/>
  <c r="E1164" i="2"/>
  <c r="F1164" i="2"/>
  <c r="I1164" i="2"/>
  <c r="J1164" i="2"/>
  <c r="E1165" i="2"/>
  <c r="F1165" i="2"/>
  <c r="I1165" i="2"/>
  <c r="E1166" i="2"/>
  <c r="F1166" i="2"/>
  <c r="I1166" i="2"/>
  <c r="E1167" i="2"/>
  <c r="I1167" i="2"/>
  <c r="E1168" i="2"/>
  <c r="I1168" i="2"/>
  <c r="J1168" i="2"/>
  <c r="E1169" i="2"/>
  <c r="F1169" i="2"/>
  <c r="I1169" i="2"/>
  <c r="E1170" i="2"/>
  <c r="F1170" i="2"/>
  <c r="I1170" i="2"/>
  <c r="J1170" i="2"/>
  <c r="E1171" i="2"/>
  <c r="F1171" i="2"/>
  <c r="I1171" i="2"/>
  <c r="J1171" i="2"/>
  <c r="E1172" i="2"/>
  <c r="I1172" i="2"/>
  <c r="J1172" i="2"/>
  <c r="E1173" i="2"/>
  <c r="I1173" i="2"/>
  <c r="E1174" i="2"/>
  <c r="F1174" i="2"/>
  <c r="I1174" i="2"/>
  <c r="E1175" i="2"/>
  <c r="F1175" i="2"/>
  <c r="I1175" i="2"/>
  <c r="E1176" i="2"/>
  <c r="F1176" i="2"/>
  <c r="I1176" i="2"/>
  <c r="E1177" i="2"/>
  <c r="F1177" i="2"/>
  <c r="I1177" i="2"/>
  <c r="E1178" i="2"/>
  <c r="F1178" i="2"/>
  <c r="I1178" i="2"/>
  <c r="J1178" i="2"/>
  <c r="E1179" i="2"/>
  <c r="F1179" i="2"/>
  <c r="I1179" i="2"/>
  <c r="E1180" i="2"/>
  <c r="F1180" i="2"/>
  <c r="I1180" i="2"/>
  <c r="E1181" i="2"/>
  <c r="F1181" i="2"/>
  <c r="I1181" i="2"/>
  <c r="E1182" i="2"/>
  <c r="F1182" i="2"/>
  <c r="I1182" i="2"/>
  <c r="E1183" i="2"/>
  <c r="F1183" i="2"/>
  <c r="I1183" i="2"/>
  <c r="E1184" i="2"/>
  <c r="F1184" i="2"/>
  <c r="I1184" i="2"/>
  <c r="E1185" i="2"/>
  <c r="I1185" i="2"/>
  <c r="E1186" i="2"/>
  <c r="F1186" i="2"/>
  <c r="I1186" i="2"/>
  <c r="E1187" i="2"/>
  <c r="F1187" i="2"/>
  <c r="I1187" i="2"/>
  <c r="E1188" i="2"/>
  <c r="F1188" i="2"/>
  <c r="I1188" i="2"/>
  <c r="E1189" i="2"/>
  <c r="I1189" i="2"/>
  <c r="E1190" i="2"/>
  <c r="I1190" i="2"/>
  <c r="E1191" i="2"/>
  <c r="F1191" i="2"/>
  <c r="I1191" i="2"/>
  <c r="E1192" i="2"/>
  <c r="I1192" i="2"/>
  <c r="E1193" i="2"/>
  <c r="I1193" i="2"/>
  <c r="E1194" i="2"/>
  <c r="I1194" i="2"/>
  <c r="E1195" i="2"/>
  <c r="I1195" i="2"/>
  <c r="E1196" i="2"/>
  <c r="F1196" i="2"/>
  <c r="I1196" i="2"/>
  <c r="E1197" i="2"/>
  <c r="F1197" i="2"/>
  <c r="I1197" i="2"/>
  <c r="J1197" i="2"/>
  <c r="E1198" i="2"/>
  <c r="F1198" i="2"/>
  <c r="I1198" i="2"/>
  <c r="E1199" i="2"/>
  <c r="F1199" i="2"/>
  <c r="I1199" i="2"/>
  <c r="E1200" i="2"/>
  <c r="F1200" i="2"/>
  <c r="I1200" i="2"/>
  <c r="E1201" i="2"/>
  <c r="F1201" i="2"/>
  <c r="I1201" i="2"/>
  <c r="E1202" i="2"/>
  <c r="F1202" i="2"/>
  <c r="I1202" i="2"/>
  <c r="E1203" i="2"/>
  <c r="F1203" i="2"/>
  <c r="I1203" i="2"/>
  <c r="E1204" i="2"/>
  <c r="F1204" i="2"/>
  <c r="I1204" i="2"/>
  <c r="E1205" i="2"/>
  <c r="F1205" i="2"/>
  <c r="I1205" i="2"/>
  <c r="E1206" i="2"/>
  <c r="I1206" i="2"/>
  <c r="E1207" i="2"/>
  <c r="I1207" i="2"/>
  <c r="J1207" i="2"/>
  <c r="E1208" i="2"/>
  <c r="I1208" i="2"/>
  <c r="J1208" i="2"/>
  <c r="E1209" i="2"/>
  <c r="F1209" i="2"/>
  <c r="I1209" i="2"/>
  <c r="J1209" i="2"/>
  <c r="E1210" i="2"/>
  <c r="I1210" i="2"/>
  <c r="J1210" i="2"/>
  <c r="E1211" i="2"/>
  <c r="I1211" i="2"/>
  <c r="J1211" i="2"/>
  <c r="E1212" i="2"/>
  <c r="I1212" i="2"/>
  <c r="J1212" i="2"/>
  <c r="E1213" i="2"/>
  <c r="F1213" i="2"/>
  <c r="I1213" i="2"/>
  <c r="J1213" i="2"/>
  <c r="E1214" i="2"/>
  <c r="F1214" i="2"/>
  <c r="I1214" i="2"/>
  <c r="J1214" i="2"/>
  <c r="E1215" i="2"/>
  <c r="I1215" i="2"/>
  <c r="J1215" i="2"/>
  <c r="E1216" i="2"/>
  <c r="I1216" i="2"/>
  <c r="J1216" i="2"/>
  <c r="E1217" i="2"/>
  <c r="I1217" i="2"/>
  <c r="J1217" i="2"/>
  <c r="E1218" i="2"/>
  <c r="F1218" i="2"/>
  <c r="I1218" i="2"/>
  <c r="J1218" i="2"/>
  <c r="E1219" i="2"/>
  <c r="F1219" i="2"/>
  <c r="I1219" i="2"/>
  <c r="J1219" i="2"/>
  <c r="E1220" i="2"/>
  <c r="F1220" i="2"/>
  <c r="I1220" i="2"/>
  <c r="E1221" i="2"/>
  <c r="F1221" i="2"/>
  <c r="I1221" i="2"/>
  <c r="J1221" i="2"/>
  <c r="E1222" i="2"/>
  <c r="I1222" i="2"/>
  <c r="J1222" i="2"/>
  <c r="E1223" i="2"/>
  <c r="I1223" i="2"/>
  <c r="J1223" i="2"/>
  <c r="E1224" i="2"/>
  <c r="I1224" i="2"/>
  <c r="J1224" i="2"/>
  <c r="E1225" i="2"/>
  <c r="F1225" i="2"/>
  <c r="I1225" i="2"/>
  <c r="J1225" i="2"/>
  <c r="E1226" i="2"/>
  <c r="I1226" i="2"/>
  <c r="J1226" i="2"/>
  <c r="E1227" i="2"/>
  <c r="I1227" i="2"/>
  <c r="J1227" i="2"/>
  <c r="E1228" i="2"/>
  <c r="F1228" i="2"/>
  <c r="I1228" i="2"/>
  <c r="J1228" i="2"/>
  <c r="E1229" i="2"/>
  <c r="I1229" i="2"/>
  <c r="J1229" i="2"/>
  <c r="E1230" i="2"/>
  <c r="F1230" i="2"/>
  <c r="I1230" i="2"/>
  <c r="E1231" i="2"/>
  <c r="F1231" i="2"/>
  <c r="I1231" i="2"/>
  <c r="J1231" i="2"/>
  <c r="E1232" i="2"/>
  <c r="F1232" i="2"/>
  <c r="I1232" i="2"/>
  <c r="J1232" i="2"/>
  <c r="E1233" i="2"/>
  <c r="I1233" i="2"/>
  <c r="J1233" i="2"/>
  <c r="E1234" i="2"/>
  <c r="F1234" i="2"/>
  <c r="I1234" i="2"/>
  <c r="J1234" i="2"/>
  <c r="E1235" i="2"/>
  <c r="F1235" i="2"/>
  <c r="I1235" i="2"/>
  <c r="J1235" i="2"/>
  <c r="E1236" i="2"/>
  <c r="F1236" i="2"/>
  <c r="I1236" i="2"/>
  <c r="J1236" i="2"/>
  <c r="E1237" i="2"/>
  <c r="F1237" i="2"/>
  <c r="I1237" i="2"/>
  <c r="J1237" i="2"/>
  <c r="E1238" i="2"/>
  <c r="F1238" i="2"/>
  <c r="I1238" i="2"/>
  <c r="J1238" i="2"/>
  <c r="E1239" i="2"/>
  <c r="I1239" i="2"/>
  <c r="J1239" i="2"/>
  <c r="E1240" i="2"/>
  <c r="F1240" i="2"/>
  <c r="I1240" i="2"/>
  <c r="J1240" i="2"/>
  <c r="E1241" i="2"/>
  <c r="F1241" i="2"/>
  <c r="I1241" i="2"/>
  <c r="J1241" i="2"/>
  <c r="E1242" i="2"/>
  <c r="I1242" i="2"/>
  <c r="J1242" i="2"/>
  <c r="E1243" i="2"/>
  <c r="I1243" i="2"/>
  <c r="J1243" i="2"/>
  <c r="E1244" i="2"/>
  <c r="I1244" i="2"/>
  <c r="J1244" i="2"/>
  <c r="E1245" i="2"/>
  <c r="I1245" i="2"/>
  <c r="J1245" i="2"/>
  <c r="E1246" i="2"/>
  <c r="I1246" i="2"/>
  <c r="J1246" i="2"/>
  <c r="E1247" i="2"/>
  <c r="I1247" i="2"/>
  <c r="J1247" i="2"/>
  <c r="E1248" i="2"/>
  <c r="F1248" i="2"/>
  <c r="I1248" i="2"/>
  <c r="J1248" i="2"/>
  <c r="E1249" i="2"/>
  <c r="I1249" i="2"/>
  <c r="J1249" i="2"/>
  <c r="E1250" i="2"/>
  <c r="F1250" i="2"/>
  <c r="I1250" i="2"/>
  <c r="J1250" i="2"/>
  <c r="E1251" i="2"/>
  <c r="F1251" i="2"/>
  <c r="I1251" i="2"/>
  <c r="E1252" i="2"/>
  <c r="F1252" i="2"/>
  <c r="I1252" i="2"/>
  <c r="E1253" i="2"/>
  <c r="F1253" i="2"/>
  <c r="I1253" i="2"/>
  <c r="E1254" i="2"/>
  <c r="I1254" i="2"/>
  <c r="J1254" i="2"/>
  <c r="E1255" i="2"/>
  <c r="I1255" i="2"/>
  <c r="J1255" i="2"/>
  <c r="E1256" i="2"/>
  <c r="F1256" i="2"/>
  <c r="I1256" i="2"/>
  <c r="E1257" i="2"/>
  <c r="F1257" i="2"/>
  <c r="I1257" i="2"/>
  <c r="E1258" i="2"/>
  <c r="F1258" i="2"/>
  <c r="I1258" i="2"/>
  <c r="J1258" i="2"/>
  <c r="E1259" i="2"/>
  <c r="F1259" i="2"/>
  <c r="I1259" i="2"/>
  <c r="J1259" i="2"/>
  <c r="E1260" i="2"/>
  <c r="F1260" i="2"/>
  <c r="I1260" i="2"/>
  <c r="J1260" i="2"/>
  <c r="E1261" i="2"/>
  <c r="F1261" i="2"/>
  <c r="I1261" i="2"/>
  <c r="E1262" i="2"/>
  <c r="F1262" i="2"/>
  <c r="I1262" i="2"/>
  <c r="E1263" i="2"/>
  <c r="I1263" i="2"/>
  <c r="J1263" i="2"/>
  <c r="E1264" i="2"/>
  <c r="I1264" i="2"/>
  <c r="J1264" i="2"/>
  <c r="E1265" i="2"/>
  <c r="I1265" i="2"/>
  <c r="J1265" i="2"/>
  <c r="E1266" i="2"/>
  <c r="I1266" i="2"/>
  <c r="J1266" i="2"/>
  <c r="E1267" i="2"/>
  <c r="F1267" i="2"/>
  <c r="I1267" i="2"/>
  <c r="J1267" i="2"/>
  <c r="E1268" i="2"/>
  <c r="F1268" i="2"/>
  <c r="I1268" i="2"/>
  <c r="J1268" i="2"/>
  <c r="E1269" i="2"/>
  <c r="F1269" i="2"/>
  <c r="I1269" i="2"/>
  <c r="E1270" i="2"/>
  <c r="F1270" i="2"/>
  <c r="I1270" i="2"/>
  <c r="E1271" i="2"/>
  <c r="F1271" i="2"/>
  <c r="I1271" i="2"/>
  <c r="E1272" i="2"/>
  <c r="F1272" i="2"/>
  <c r="I1272" i="2"/>
  <c r="J1272" i="2"/>
  <c r="E1273" i="2"/>
  <c r="F1273" i="2"/>
  <c r="I1273" i="2"/>
  <c r="E1274" i="2"/>
  <c r="I1274" i="2"/>
  <c r="E1275" i="2"/>
  <c r="F1275" i="2"/>
  <c r="I1275" i="2"/>
  <c r="E1276" i="2"/>
  <c r="F1276" i="2"/>
  <c r="I1276" i="2"/>
  <c r="E1277" i="2"/>
  <c r="F1277" i="2"/>
  <c r="I1277" i="2"/>
  <c r="E1278" i="2"/>
  <c r="I1278" i="2"/>
  <c r="J1278" i="2"/>
  <c r="E1279" i="2"/>
  <c r="I1279" i="2"/>
  <c r="J1279" i="2"/>
  <c r="E1280" i="2"/>
  <c r="I1280" i="2"/>
  <c r="J1280" i="2"/>
  <c r="E1281" i="2"/>
  <c r="I1281" i="2"/>
  <c r="J1281" i="2"/>
  <c r="E1282" i="2"/>
  <c r="I1282" i="2"/>
  <c r="J1282" i="2"/>
  <c r="E1283" i="2"/>
  <c r="F1283" i="2"/>
  <c r="I1283" i="2"/>
  <c r="J1283" i="2"/>
  <c r="E1284" i="2"/>
  <c r="F1284" i="2"/>
  <c r="I1284" i="2"/>
  <c r="J1284" i="2"/>
  <c r="E1285" i="2"/>
  <c r="I1285" i="2"/>
  <c r="J1285" i="2"/>
  <c r="E1286" i="2"/>
  <c r="I1286" i="2"/>
  <c r="J1286" i="2"/>
  <c r="E1287" i="2"/>
  <c r="I1287" i="2"/>
  <c r="J1287" i="2"/>
  <c r="E1288" i="2"/>
  <c r="I1288" i="2"/>
  <c r="J1288" i="2"/>
  <c r="E1289" i="2"/>
  <c r="F1289" i="2"/>
  <c r="I1289" i="2"/>
  <c r="E1290" i="2"/>
  <c r="F1290" i="2"/>
  <c r="I1290" i="2"/>
  <c r="E1291" i="2"/>
  <c r="F1291" i="2"/>
  <c r="I1291" i="2"/>
  <c r="E1292" i="2"/>
  <c r="F1292" i="2"/>
  <c r="I1292" i="2"/>
  <c r="E1293" i="2"/>
  <c r="F1293" i="2"/>
  <c r="I1293" i="2"/>
  <c r="J1293" i="2"/>
  <c r="E1294" i="2"/>
  <c r="I1294" i="2"/>
  <c r="J1294" i="2"/>
  <c r="E1295" i="2"/>
  <c r="I1295" i="2"/>
  <c r="J1295" i="2"/>
  <c r="E1296" i="2"/>
  <c r="I1296" i="2"/>
  <c r="J1296" i="2"/>
  <c r="E1297" i="2"/>
  <c r="F1297" i="2"/>
  <c r="I1297" i="2"/>
  <c r="E1298" i="2"/>
  <c r="I1298" i="2"/>
  <c r="J1298" i="2"/>
  <c r="E1299" i="2"/>
  <c r="F1299" i="2"/>
  <c r="I1299" i="2"/>
  <c r="E1300" i="2"/>
  <c r="F1300" i="2"/>
  <c r="I1300" i="2"/>
  <c r="E1301" i="2"/>
  <c r="F1301" i="2"/>
  <c r="I1301" i="2"/>
  <c r="E1302" i="2"/>
  <c r="F1302" i="2"/>
  <c r="I1302" i="2"/>
  <c r="E1303" i="2"/>
  <c r="F1303" i="2"/>
  <c r="I1303" i="2"/>
  <c r="J1303" i="2"/>
  <c r="E1304" i="2"/>
  <c r="F1304" i="2"/>
  <c r="I1304" i="2"/>
  <c r="E1305" i="2"/>
  <c r="I1305" i="2"/>
  <c r="J1305" i="2"/>
  <c r="E1306" i="2"/>
  <c r="F1306" i="2"/>
  <c r="I1306" i="2"/>
  <c r="E1307" i="2"/>
  <c r="F1307" i="2"/>
  <c r="I1307" i="2"/>
  <c r="E1308" i="2"/>
  <c r="F1308" i="2"/>
  <c r="I1308" i="2"/>
  <c r="E1309" i="2"/>
  <c r="F1309" i="2"/>
  <c r="I1309" i="2"/>
  <c r="J1309" i="2"/>
  <c r="E1310" i="2"/>
  <c r="F1310" i="2"/>
  <c r="I1310" i="2"/>
  <c r="J1310" i="2"/>
  <c r="E1311" i="2"/>
  <c r="F1311" i="2"/>
  <c r="I1311" i="2"/>
  <c r="J1311" i="2"/>
  <c r="E1312" i="2"/>
  <c r="I1312" i="2"/>
  <c r="J1312" i="2"/>
  <c r="E1313" i="2"/>
  <c r="F1313" i="2"/>
  <c r="I1313" i="2"/>
  <c r="J1313" i="2"/>
  <c r="E1314" i="2"/>
  <c r="I1314" i="2"/>
  <c r="E1315" i="2"/>
  <c r="I1315" i="2"/>
  <c r="J1315" i="2"/>
  <c r="E1316" i="2"/>
  <c r="F1316" i="2"/>
  <c r="I1316" i="2"/>
  <c r="J1316" i="2"/>
  <c r="E1317" i="2"/>
  <c r="F1317" i="2"/>
  <c r="I1317" i="2"/>
  <c r="J1317" i="2"/>
  <c r="E1318" i="2"/>
  <c r="F1318" i="2"/>
  <c r="I1318" i="2"/>
  <c r="J1318" i="2"/>
  <c r="E1319" i="2"/>
  <c r="F1319" i="2"/>
  <c r="I1319" i="2"/>
  <c r="J1319" i="2"/>
  <c r="E1320" i="2"/>
  <c r="I1320" i="2"/>
  <c r="E1321" i="2"/>
  <c r="I1321" i="2"/>
  <c r="J1321" i="2"/>
  <c r="E1322" i="2"/>
  <c r="F1322" i="2"/>
  <c r="I1322" i="2"/>
  <c r="J1322" i="2"/>
  <c r="E1323" i="2"/>
  <c r="I1323" i="2"/>
  <c r="E1324" i="2"/>
  <c r="F1324" i="2"/>
  <c r="I1324" i="2"/>
  <c r="J1324" i="2"/>
  <c r="E1325" i="2"/>
  <c r="I1325" i="2"/>
  <c r="J1325" i="2"/>
  <c r="E1326" i="2"/>
  <c r="I1326" i="2"/>
  <c r="E1327" i="2"/>
  <c r="F1327" i="2"/>
  <c r="I1327" i="2"/>
  <c r="J1327" i="2"/>
  <c r="E1328" i="2"/>
  <c r="I1328" i="2"/>
  <c r="J1328" i="2"/>
  <c r="E1329" i="2"/>
  <c r="F1329" i="2"/>
  <c r="I1329" i="2"/>
  <c r="E1330" i="2"/>
  <c r="F1330" i="2"/>
  <c r="I1330" i="2"/>
  <c r="J1330" i="2"/>
  <c r="E1331" i="2"/>
  <c r="I1331" i="2"/>
  <c r="J1331" i="2"/>
  <c r="E1332" i="2"/>
  <c r="I1332" i="2"/>
  <c r="J1332" i="2"/>
  <c r="E1333" i="2"/>
  <c r="F1333" i="2"/>
  <c r="I1333" i="2"/>
  <c r="E1334" i="2"/>
  <c r="I1334" i="2"/>
  <c r="J1334" i="2"/>
  <c r="E1335" i="2"/>
  <c r="F1335" i="2"/>
  <c r="I1335" i="2"/>
  <c r="J1335" i="2"/>
  <c r="E1336" i="2"/>
  <c r="I1336" i="2"/>
  <c r="J1336" i="2"/>
  <c r="E1337" i="2"/>
  <c r="I1337" i="2"/>
  <c r="E1338" i="2"/>
  <c r="I1338" i="2"/>
  <c r="J1338" i="2"/>
  <c r="E1339" i="2"/>
  <c r="I1339" i="2"/>
  <c r="J1339" i="2"/>
  <c r="E1340" i="2"/>
  <c r="F1340" i="2"/>
  <c r="I1340" i="2"/>
  <c r="J1340" i="2"/>
  <c r="E1341" i="2"/>
  <c r="F1341" i="2"/>
  <c r="I1341" i="2"/>
  <c r="J1341" i="2"/>
  <c r="E1342" i="2"/>
  <c r="I1342" i="2"/>
  <c r="J1342" i="2"/>
  <c r="E1343" i="2"/>
  <c r="I1343" i="2"/>
  <c r="E1344" i="2"/>
  <c r="I1344" i="2"/>
  <c r="J1344" i="2"/>
  <c r="E1345" i="2"/>
  <c r="I1345" i="2"/>
  <c r="J1345" i="2"/>
  <c r="E1346" i="2"/>
  <c r="F1346" i="2"/>
  <c r="I1346" i="2"/>
  <c r="E1347" i="2"/>
  <c r="I1347" i="2"/>
  <c r="J1347" i="2"/>
  <c r="E1348" i="2"/>
  <c r="I1348" i="2"/>
  <c r="J1348" i="2"/>
  <c r="E1349" i="2"/>
  <c r="I1349" i="2"/>
  <c r="J1349" i="2"/>
  <c r="E1350" i="2"/>
  <c r="F1350" i="2"/>
  <c r="I1350" i="2"/>
  <c r="J1350" i="2"/>
  <c r="E1351" i="2"/>
  <c r="I1351" i="2"/>
  <c r="J1351" i="2"/>
  <c r="E1352" i="2"/>
  <c r="I1352" i="2"/>
  <c r="J1352" i="2"/>
  <c r="E1353" i="2"/>
  <c r="F1353" i="2"/>
  <c r="I1353" i="2"/>
  <c r="E1354" i="2"/>
  <c r="F1354" i="2"/>
  <c r="I1354" i="2"/>
  <c r="E1355" i="2"/>
  <c r="F1355" i="2"/>
  <c r="I1355" i="2"/>
  <c r="J1355" i="2"/>
  <c r="E1356" i="2"/>
  <c r="F1356" i="2"/>
  <c r="I1356" i="2"/>
  <c r="E1357" i="2"/>
  <c r="F1357" i="2"/>
  <c r="I1357" i="2"/>
  <c r="J1357" i="2"/>
  <c r="E1358" i="2"/>
  <c r="F1358" i="2"/>
  <c r="I1358" i="2"/>
  <c r="J1358" i="2"/>
  <c r="E1359" i="2"/>
  <c r="I1359" i="2"/>
  <c r="J1359" i="2"/>
  <c r="E1360" i="2"/>
  <c r="F1360" i="2"/>
  <c r="I1360" i="2"/>
  <c r="E1361" i="2"/>
  <c r="I1361" i="2"/>
  <c r="J1361" i="2"/>
  <c r="E1362" i="2"/>
  <c r="F1362" i="2"/>
  <c r="I1362" i="2"/>
  <c r="E1363" i="2"/>
  <c r="F1363" i="2"/>
  <c r="I1363" i="2"/>
  <c r="J1363" i="2"/>
  <c r="E1364" i="2"/>
  <c r="F1364" i="2"/>
  <c r="I1364" i="2"/>
  <c r="J1364" i="2"/>
  <c r="E1365" i="2"/>
  <c r="F1365" i="2"/>
  <c r="I1365" i="2"/>
  <c r="J1365" i="2"/>
  <c r="E1366" i="2"/>
  <c r="I1366" i="2"/>
  <c r="J1366" i="2"/>
  <c r="E1367" i="2"/>
  <c r="I1367" i="2"/>
  <c r="J1367" i="2"/>
  <c r="E1368" i="2"/>
  <c r="I1368" i="2"/>
  <c r="J1368" i="2"/>
  <c r="E1369" i="2"/>
  <c r="F1369" i="2"/>
  <c r="I1369" i="2"/>
  <c r="J1369" i="2"/>
  <c r="E1370" i="2"/>
  <c r="F1370" i="2"/>
  <c r="I1370" i="2"/>
  <c r="J1370" i="2"/>
  <c r="E1371" i="2"/>
  <c r="I1371" i="2"/>
  <c r="J1371" i="2"/>
  <c r="E1372" i="2"/>
  <c r="I1372" i="2"/>
  <c r="J1372" i="2"/>
  <c r="E1373" i="2"/>
  <c r="I1373" i="2"/>
  <c r="J1373" i="2"/>
  <c r="E1374" i="2"/>
  <c r="F1374" i="2"/>
  <c r="I1374" i="2"/>
  <c r="J1374" i="2"/>
  <c r="E1375" i="2"/>
  <c r="I1375" i="2"/>
  <c r="J1375" i="2"/>
  <c r="E1376" i="2"/>
  <c r="I1376" i="2"/>
  <c r="J1376" i="2"/>
  <c r="E1377" i="2"/>
  <c r="I1377" i="2"/>
  <c r="J1377" i="2"/>
  <c r="E1378" i="2"/>
  <c r="I1378" i="2"/>
  <c r="J1378" i="2"/>
  <c r="E1379" i="2"/>
  <c r="I1379" i="2"/>
  <c r="J1379" i="2"/>
  <c r="E1380" i="2"/>
  <c r="I1380" i="2"/>
  <c r="J1380" i="2"/>
  <c r="E1381" i="2"/>
  <c r="F1381" i="2"/>
  <c r="I1381" i="2"/>
  <c r="E1382" i="2"/>
  <c r="I1382" i="2"/>
  <c r="J1382" i="2"/>
  <c r="E1383" i="2"/>
  <c r="F1383" i="2"/>
  <c r="I1383" i="2"/>
  <c r="E1384" i="2"/>
  <c r="I1384" i="2"/>
  <c r="J1384" i="2"/>
  <c r="E1385" i="2"/>
  <c r="F1385" i="2"/>
  <c r="I1385" i="2"/>
  <c r="E1386" i="2"/>
  <c r="F1386" i="2"/>
  <c r="I1386" i="2"/>
  <c r="J1386" i="2"/>
  <c r="E1387" i="2"/>
  <c r="F1387" i="2"/>
  <c r="I1387" i="2"/>
  <c r="J1387" i="2"/>
  <c r="E1388" i="2"/>
  <c r="F1388" i="2"/>
  <c r="I1388" i="2"/>
  <c r="E1389" i="2"/>
  <c r="F1389" i="2"/>
  <c r="I1389" i="2"/>
  <c r="J1389" i="2"/>
  <c r="E1390" i="2"/>
  <c r="I1390" i="2"/>
  <c r="J1390" i="2"/>
  <c r="E1391" i="2"/>
  <c r="I1391" i="2"/>
  <c r="E1392" i="2"/>
  <c r="I1392" i="2"/>
  <c r="J1392" i="2"/>
  <c r="E1393" i="2"/>
  <c r="I1393" i="2"/>
  <c r="J1393" i="2"/>
  <c r="E1394" i="2"/>
  <c r="F1394" i="2"/>
  <c r="I1394" i="2"/>
  <c r="E1395" i="2"/>
  <c r="F1395" i="2"/>
  <c r="I1395" i="2"/>
  <c r="E1396" i="2"/>
  <c r="F1396" i="2"/>
  <c r="I1396" i="2"/>
  <c r="E1397" i="2"/>
  <c r="F1397" i="2"/>
  <c r="I1397" i="2"/>
  <c r="E1398" i="2"/>
  <c r="F1398" i="2"/>
  <c r="I1398" i="2"/>
  <c r="J1398" i="2"/>
  <c r="E1399" i="2"/>
  <c r="F1399" i="2"/>
  <c r="I1399" i="2"/>
  <c r="E1400" i="2"/>
  <c r="F1400" i="2"/>
  <c r="I1400" i="2"/>
  <c r="J1400" i="2"/>
  <c r="E1401" i="2"/>
  <c r="F1401" i="2"/>
  <c r="I1401" i="2"/>
  <c r="E1402" i="2"/>
  <c r="I1402" i="2"/>
  <c r="J1402" i="2"/>
  <c r="E1403" i="2"/>
  <c r="F1403" i="2"/>
  <c r="I1403" i="2"/>
  <c r="J1403" i="2"/>
  <c r="E1404" i="2"/>
  <c r="F1404" i="2"/>
  <c r="I1404" i="2"/>
  <c r="E1405" i="2"/>
  <c r="I1405" i="2"/>
  <c r="J1405" i="2"/>
  <c r="E1406" i="2"/>
  <c r="F1406" i="2"/>
  <c r="I1406" i="2"/>
  <c r="E1407" i="2"/>
  <c r="F1407" i="2"/>
  <c r="I1407" i="2"/>
  <c r="E1408" i="2"/>
  <c r="F1408" i="2"/>
  <c r="I1408" i="2"/>
  <c r="E1409" i="2"/>
  <c r="F1409" i="2"/>
  <c r="I1409" i="2"/>
  <c r="E1410" i="2"/>
  <c r="F1410" i="2"/>
  <c r="I1410" i="2"/>
  <c r="E1411" i="2"/>
  <c r="F1411" i="2"/>
  <c r="I1411" i="2"/>
  <c r="E1412" i="2"/>
  <c r="F1412" i="2"/>
  <c r="I1412" i="2"/>
  <c r="E1413" i="2"/>
  <c r="I1413" i="2"/>
  <c r="J1413" i="2"/>
  <c r="E1414" i="2"/>
  <c r="I1414" i="2"/>
  <c r="J1414" i="2"/>
  <c r="E1415" i="2"/>
  <c r="I1415" i="2"/>
  <c r="J1415" i="2"/>
  <c r="E1416" i="2"/>
  <c r="I1416" i="2"/>
  <c r="J1416" i="2"/>
  <c r="E1417" i="2"/>
  <c r="I1417" i="2"/>
  <c r="J1417" i="2"/>
  <c r="E1418" i="2"/>
  <c r="I1418" i="2"/>
  <c r="J1418" i="2"/>
  <c r="E1419" i="2"/>
  <c r="I1419" i="2"/>
  <c r="J1419" i="2"/>
  <c r="E1420" i="2"/>
  <c r="I1420" i="2"/>
  <c r="J1420" i="2"/>
  <c r="E1421" i="2"/>
  <c r="F1421" i="2"/>
  <c r="I1421" i="2"/>
  <c r="E1422" i="2"/>
  <c r="F1422" i="2"/>
  <c r="I1422" i="2"/>
  <c r="E1423" i="2"/>
  <c r="I1423" i="2"/>
  <c r="J1423" i="2"/>
  <c r="E1424" i="2"/>
  <c r="F1424" i="2"/>
  <c r="I1424" i="2"/>
  <c r="E1425" i="2"/>
  <c r="F1425" i="2"/>
  <c r="I1425" i="2"/>
  <c r="E1426" i="2"/>
  <c r="F1426" i="2"/>
  <c r="I1426" i="2"/>
  <c r="J1426" i="2"/>
  <c r="E1427" i="2"/>
  <c r="F1427" i="2"/>
  <c r="I1427" i="2"/>
  <c r="E1428" i="2"/>
  <c r="I1428" i="2"/>
  <c r="J1428" i="2"/>
  <c r="E1429" i="2"/>
  <c r="F1429" i="2"/>
  <c r="I1429" i="2"/>
  <c r="E1430" i="2"/>
  <c r="F1430" i="2"/>
  <c r="I1430" i="2"/>
  <c r="E1431" i="2"/>
  <c r="F1431" i="2"/>
  <c r="I1431" i="2"/>
  <c r="E1432" i="2"/>
  <c r="F1432" i="2"/>
  <c r="I1432" i="2"/>
  <c r="J1432" i="2"/>
  <c r="E1433" i="2"/>
  <c r="F1433" i="2"/>
  <c r="I1433" i="2"/>
  <c r="J1433" i="2"/>
  <c r="E1434" i="2"/>
  <c r="F1434" i="2"/>
  <c r="I1434" i="2"/>
  <c r="J1434" i="2"/>
  <c r="E1435" i="2"/>
  <c r="F1435" i="2"/>
  <c r="I1435" i="2"/>
  <c r="J1435" i="2"/>
  <c r="E1436" i="2"/>
  <c r="F1436" i="2"/>
  <c r="I1436" i="2"/>
  <c r="E1437" i="2"/>
  <c r="F1437" i="2"/>
  <c r="I1437" i="2"/>
  <c r="J1437" i="2"/>
  <c r="E1438" i="2"/>
  <c r="I1438" i="2"/>
  <c r="J1438" i="2"/>
  <c r="E1439" i="2"/>
  <c r="F1439" i="2"/>
  <c r="I1439" i="2"/>
  <c r="E1440" i="2"/>
  <c r="F1440" i="2"/>
  <c r="I1440" i="2"/>
  <c r="E1441" i="2"/>
  <c r="F1441" i="2"/>
  <c r="I1441" i="2"/>
  <c r="E1442" i="2"/>
  <c r="F1442" i="2"/>
  <c r="I1442" i="2"/>
  <c r="E1443" i="2"/>
  <c r="I1443" i="2"/>
  <c r="J1443" i="2"/>
  <c r="E1444" i="2"/>
  <c r="F1444" i="2"/>
  <c r="I1444" i="2"/>
  <c r="E1445" i="2"/>
  <c r="F1445" i="2"/>
  <c r="I1445" i="2"/>
  <c r="E1446" i="2"/>
  <c r="I1446" i="2"/>
  <c r="J1446" i="2"/>
  <c r="E1447" i="2"/>
  <c r="F1447" i="2"/>
  <c r="I1447" i="2"/>
  <c r="E1448" i="2"/>
  <c r="F1448" i="2"/>
  <c r="I1448" i="2"/>
  <c r="J1448" i="2"/>
  <c r="E1449" i="2"/>
  <c r="F1449" i="2"/>
  <c r="I1449" i="2"/>
  <c r="E1450" i="2"/>
  <c r="F1450" i="2"/>
  <c r="I1450" i="2"/>
  <c r="E1451" i="2"/>
  <c r="F1451" i="2"/>
  <c r="I1451" i="2"/>
  <c r="E1452" i="2"/>
  <c r="F1452" i="2"/>
  <c r="I1452" i="2"/>
  <c r="E1453" i="2"/>
  <c r="F1453" i="2"/>
  <c r="I1453" i="2"/>
  <c r="E1454" i="2"/>
  <c r="F1454" i="2"/>
  <c r="I1454" i="2"/>
  <c r="E1455" i="2"/>
  <c r="I1455" i="2"/>
  <c r="J1455" i="2"/>
  <c r="E1456" i="2"/>
  <c r="F1456" i="2"/>
  <c r="I1456" i="2"/>
  <c r="J1456" i="2"/>
  <c r="E1457" i="2"/>
  <c r="F1457" i="2"/>
  <c r="I1457" i="2"/>
  <c r="J1457" i="2"/>
  <c r="E1458" i="2"/>
  <c r="I1458" i="2"/>
  <c r="J1458" i="2"/>
  <c r="E1459" i="2"/>
  <c r="I1459" i="2"/>
  <c r="J1459" i="2"/>
  <c r="E1460" i="2"/>
  <c r="F1460" i="2"/>
  <c r="I1460" i="2"/>
  <c r="E1461" i="2"/>
  <c r="F1461" i="2"/>
  <c r="I1461" i="2"/>
  <c r="J1461" i="2"/>
  <c r="E1462" i="2"/>
  <c r="I1462" i="2"/>
  <c r="E1463" i="2"/>
  <c r="I1463" i="2"/>
  <c r="J1463" i="2"/>
  <c r="E1464" i="2"/>
  <c r="I1464" i="2"/>
  <c r="J1464" i="2"/>
  <c r="E1465" i="2"/>
  <c r="I1465" i="2"/>
  <c r="J1465" i="2"/>
  <c r="E1466" i="2"/>
  <c r="F1466" i="2"/>
  <c r="I1466" i="2"/>
  <c r="J1466" i="2"/>
  <c r="E1467" i="2"/>
  <c r="I1467" i="2"/>
  <c r="J1467" i="2"/>
  <c r="E1468" i="2"/>
  <c r="F1468" i="2"/>
  <c r="I1468" i="2"/>
  <c r="E1469" i="2"/>
  <c r="I1469" i="2"/>
  <c r="E1470" i="2"/>
  <c r="I1470" i="2"/>
  <c r="J1470" i="2"/>
  <c r="E1471" i="2"/>
  <c r="F1471" i="2"/>
  <c r="I1471" i="2"/>
  <c r="J1471" i="2"/>
  <c r="E1472" i="2"/>
  <c r="I1472" i="2"/>
  <c r="J1472" i="2"/>
  <c r="E1473" i="2"/>
  <c r="F1473" i="2"/>
  <c r="I1473" i="2"/>
  <c r="J1473" i="2"/>
  <c r="E1474" i="2"/>
  <c r="F1474" i="2"/>
  <c r="I1474" i="2"/>
  <c r="E1475" i="2"/>
  <c r="F1475" i="2"/>
  <c r="I1475" i="2"/>
  <c r="J1475" i="2"/>
  <c r="E1476" i="2"/>
  <c r="F1476" i="2"/>
  <c r="I1476" i="2"/>
  <c r="E1477" i="2"/>
  <c r="F1477" i="2"/>
  <c r="I1477" i="2"/>
  <c r="E1478" i="2"/>
  <c r="F1478" i="2"/>
  <c r="I1478" i="2"/>
  <c r="J1478" i="2"/>
  <c r="E1479" i="2"/>
  <c r="F1479" i="2"/>
  <c r="I1479" i="2"/>
  <c r="E1480" i="2"/>
  <c r="F1480" i="2"/>
  <c r="I1480" i="2"/>
  <c r="J1480" i="2"/>
  <c r="E1481" i="2"/>
  <c r="F1481" i="2"/>
  <c r="I1481" i="2"/>
  <c r="E1482" i="2"/>
  <c r="F1482" i="2"/>
  <c r="I1482" i="2"/>
  <c r="J1482" i="2"/>
  <c r="E1483" i="2"/>
  <c r="F1483" i="2"/>
  <c r="I1483" i="2"/>
  <c r="J1483" i="2"/>
  <c r="E1484" i="2"/>
  <c r="F1484" i="2"/>
  <c r="I1484" i="2"/>
  <c r="J1484" i="2"/>
  <c r="E1485" i="2"/>
  <c r="I1485" i="2"/>
  <c r="J1485" i="2"/>
  <c r="E1486" i="2"/>
  <c r="F1486" i="2"/>
  <c r="I1486" i="2"/>
  <c r="E1487" i="2"/>
  <c r="F1487" i="2"/>
  <c r="I1487" i="2"/>
  <c r="E1488" i="2"/>
  <c r="I1488" i="2"/>
  <c r="J1488" i="2"/>
  <c r="E1489" i="2"/>
  <c r="F1489" i="2"/>
  <c r="I1489" i="2"/>
  <c r="J1489" i="2"/>
  <c r="E1490" i="2"/>
  <c r="I1490" i="2"/>
  <c r="J1490" i="2"/>
  <c r="E1491" i="2"/>
  <c r="F1491" i="2"/>
  <c r="I1491" i="2"/>
  <c r="J1491" i="2"/>
  <c r="E1492" i="2"/>
  <c r="I1492" i="2"/>
  <c r="J1492" i="2"/>
  <c r="E1493" i="2"/>
  <c r="I1493" i="2"/>
  <c r="J1493" i="2"/>
  <c r="E1494" i="2"/>
  <c r="F1494" i="2"/>
  <c r="I1494" i="2"/>
  <c r="E1495" i="2"/>
  <c r="F1495" i="2"/>
  <c r="I1495" i="2"/>
  <c r="E1496" i="2"/>
  <c r="I1496" i="2"/>
  <c r="J1496" i="2"/>
  <c r="E1497" i="2"/>
  <c r="I1497" i="2"/>
  <c r="J1497" i="2"/>
  <c r="E1498" i="2"/>
  <c r="I1498" i="2"/>
  <c r="J1498" i="2"/>
  <c r="E1499" i="2"/>
  <c r="I1499" i="2"/>
  <c r="J1499" i="2"/>
  <c r="E1500" i="2"/>
  <c r="I1500" i="2"/>
  <c r="J1500" i="2"/>
  <c r="E1501" i="2"/>
  <c r="I1501" i="2"/>
  <c r="J1501" i="2"/>
  <c r="E1502" i="2"/>
  <c r="I1502" i="2"/>
  <c r="J1502" i="2"/>
  <c r="E1503" i="2"/>
  <c r="I1503" i="2"/>
  <c r="J1503" i="2"/>
  <c r="E1504" i="2"/>
  <c r="F1504" i="2"/>
  <c r="I1504" i="2"/>
  <c r="E1505" i="2"/>
  <c r="F1505" i="2"/>
  <c r="I1505" i="2"/>
  <c r="E1506" i="2"/>
  <c r="F1506" i="2"/>
  <c r="I1506" i="2"/>
  <c r="E1507" i="2"/>
  <c r="I1507" i="2"/>
  <c r="J1507" i="2"/>
  <c r="E1508" i="2"/>
  <c r="F1508" i="2"/>
  <c r="I1508" i="2"/>
  <c r="J1508" i="2"/>
  <c r="E1509" i="2"/>
  <c r="I1509" i="2"/>
  <c r="J1509" i="2"/>
  <c r="E1510" i="2"/>
  <c r="I1510" i="2"/>
  <c r="J1510" i="2"/>
  <c r="E1511" i="2"/>
  <c r="F1511" i="2"/>
  <c r="I1511" i="2"/>
  <c r="E1512" i="2"/>
  <c r="I1512" i="2"/>
  <c r="E1513" i="2"/>
  <c r="I1513" i="2"/>
  <c r="E1514" i="2"/>
  <c r="I1514" i="2"/>
  <c r="E1515" i="2"/>
  <c r="F1515" i="2"/>
  <c r="I1515" i="2"/>
  <c r="J1515" i="2"/>
  <c r="E1516" i="2"/>
  <c r="I1516" i="2"/>
  <c r="E1517" i="2"/>
  <c r="F1517" i="2"/>
  <c r="I1517" i="2"/>
  <c r="E1518" i="2"/>
  <c r="F1518" i="2"/>
  <c r="I1518" i="2"/>
  <c r="J1518" i="2"/>
  <c r="E1519" i="2"/>
  <c r="F1519" i="2"/>
  <c r="I1519" i="2"/>
  <c r="J1519" i="2"/>
  <c r="E1520" i="2"/>
  <c r="I1520" i="2"/>
  <c r="E1521" i="2"/>
  <c r="I1521" i="2"/>
  <c r="E1522" i="2"/>
  <c r="I1522" i="2"/>
  <c r="E1523" i="2"/>
  <c r="I1523" i="2"/>
  <c r="J1523" i="2"/>
  <c r="E1524" i="2"/>
  <c r="I1524" i="2"/>
  <c r="E1525" i="2"/>
  <c r="I1525" i="2"/>
  <c r="E1526" i="2"/>
  <c r="I1526" i="2"/>
  <c r="E1527" i="2"/>
  <c r="I1527" i="2"/>
  <c r="E1528" i="2"/>
  <c r="I1528" i="2"/>
  <c r="E1529" i="2"/>
  <c r="I1529" i="2"/>
  <c r="E1530" i="2"/>
  <c r="I1530" i="2"/>
  <c r="J1530" i="2"/>
  <c r="E1531" i="2"/>
  <c r="I1531" i="2"/>
  <c r="J1531" i="2"/>
  <c r="E1532" i="2"/>
  <c r="I1532" i="2"/>
  <c r="J1532" i="2"/>
  <c r="E1533" i="2"/>
  <c r="I1533" i="2"/>
  <c r="J1533" i="2"/>
  <c r="E1534" i="2"/>
  <c r="I1534" i="2"/>
  <c r="J1534" i="2"/>
  <c r="E1535" i="2"/>
  <c r="I1535" i="2"/>
  <c r="J1535" i="2"/>
  <c r="E1536" i="2"/>
  <c r="F1536" i="2"/>
  <c r="I1536" i="2"/>
  <c r="E1537" i="2"/>
  <c r="F1537" i="2"/>
  <c r="I1537" i="2"/>
  <c r="E1538" i="2"/>
  <c r="F1538" i="2"/>
  <c r="I1538" i="2"/>
  <c r="E1539" i="2"/>
  <c r="I1539" i="2"/>
  <c r="J1539" i="2"/>
  <c r="E1540" i="2"/>
  <c r="F1540" i="2"/>
  <c r="I1540" i="2"/>
  <c r="E1541" i="2"/>
  <c r="F1541" i="2"/>
  <c r="I1541" i="2"/>
  <c r="E1542" i="2"/>
  <c r="F1542" i="2"/>
  <c r="I1542" i="2"/>
  <c r="E1543" i="2"/>
  <c r="F1543" i="2"/>
  <c r="I1543" i="2"/>
  <c r="E1544" i="2"/>
  <c r="F1544" i="2"/>
  <c r="I1544" i="2"/>
  <c r="J1544" i="2"/>
  <c r="E1545" i="2"/>
  <c r="F1545" i="2"/>
  <c r="I1545" i="2"/>
  <c r="E1546" i="2"/>
  <c r="F1546" i="2"/>
  <c r="I1546" i="2"/>
  <c r="E1547" i="2"/>
  <c r="F1547" i="2"/>
  <c r="I1547" i="2"/>
  <c r="E1548" i="2"/>
  <c r="F1548" i="2"/>
  <c r="I1548" i="2"/>
  <c r="E1549" i="2"/>
  <c r="I1549" i="2"/>
  <c r="J1549" i="2"/>
  <c r="E1550" i="2"/>
  <c r="F1550" i="2"/>
  <c r="I1550" i="2"/>
  <c r="J1550" i="2"/>
  <c r="E1551" i="2"/>
  <c r="F1551" i="2"/>
  <c r="I1551" i="2"/>
  <c r="E1552" i="2"/>
  <c r="F1552" i="2"/>
  <c r="I1552" i="2"/>
  <c r="E1553" i="2"/>
  <c r="F1553" i="2"/>
  <c r="I1553" i="2"/>
  <c r="E1554" i="2"/>
  <c r="I1554" i="2"/>
  <c r="J1554" i="2"/>
  <c r="E1555" i="2"/>
  <c r="F1555" i="2"/>
  <c r="I1555" i="2"/>
  <c r="E1556" i="2"/>
  <c r="F1556" i="2"/>
  <c r="I1556" i="2"/>
  <c r="E1557" i="2"/>
  <c r="I1557" i="2"/>
  <c r="J1557" i="2"/>
  <c r="E1558" i="2"/>
  <c r="I1558" i="2"/>
  <c r="J1558" i="2"/>
  <c r="E1559" i="2"/>
  <c r="F1559" i="2"/>
  <c r="I1559" i="2"/>
  <c r="E1560" i="2"/>
  <c r="F1560" i="2"/>
  <c r="I1560" i="2"/>
  <c r="E1561" i="2"/>
  <c r="F1561" i="2"/>
  <c r="I1561" i="2"/>
  <c r="J1561" i="2"/>
  <c r="E1562" i="2"/>
  <c r="F1562" i="2"/>
  <c r="I1562" i="2"/>
  <c r="J1562" i="2"/>
  <c r="E1563" i="2"/>
  <c r="F1563" i="2"/>
  <c r="I1563" i="2"/>
  <c r="E1564" i="2"/>
  <c r="F1564" i="2"/>
  <c r="I1564" i="2"/>
  <c r="E1565" i="2"/>
  <c r="I1565" i="2"/>
  <c r="E1566" i="2"/>
  <c r="I1566" i="2"/>
  <c r="E1567" i="2"/>
  <c r="F1567" i="2"/>
  <c r="I1567" i="2"/>
  <c r="E1568" i="2"/>
  <c r="F1568" i="2"/>
  <c r="I1568" i="2"/>
  <c r="E1569" i="2"/>
  <c r="F1569" i="2"/>
  <c r="I1569" i="2"/>
  <c r="E1570" i="2"/>
  <c r="F1570" i="2"/>
  <c r="I1570" i="2"/>
  <c r="E1571" i="2"/>
  <c r="F1571" i="2"/>
  <c r="I1571" i="2"/>
  <c r="E1572" i="2"/>
  <c r="F1572" i="2"/>
  <c r="I1572" i="2"/>
  <c r="E1573" i="2"/>
  <c r="F1573" i="2"/>
  <c r="I1573" i="2"/>
  <c r="E1574" i="2"/>
  <c r="I1574" i="2"/>
  <c r="E1575" i="2"/>
  <c r="F1575" i="2"/>
  <c r="I1575" i="2"/>
  <c r="E1576" i="2"/>
  <c r="I1576" i="2"/>
  <c r="J1576" i="2"/>
  <c r="E1577" i="2"/>
  <c r="I1577" i="2"/>
  <c r="E1578" i="2"/>
  <c r="F1578" i="2"/>
  <c r="I1578" i="2"/>
  <c r="J1578" i="2"/>
  <c r="E1579" i="2"/>
  <c r="F1579" i="2"/>
  <c r="I1579" i="2"/>
  <c r="E1580" i="2"/>
  <c r="F1580" i="2"/>
  <c r="I1580" i="2"/>
  <c r="E1581" i="2"/>
  <c r="I1581" i="2"/>
  <c r="J1581" i="2"/>
  <c r="E1582" i="2"/>
  <c r="F1582" i="2"/>
  <c r="I1582" i="2"/>
  <c r="J1582" i="2"/>
  <c r="E1583" i="2"/>
  <c r="F1583" i="2"/>
  <c r="I1583" i="2"/>
  <c r="J1583" i="2"/>
  <c r="E1584" i="2"/>
  <c r="F1584" i="2"/>
  <c r="I1584" i="2"/>
  <c r="J1584" i="2"/>
  <c r="E1585" i="2"/>
  <c r="F1585" i="2"/>
  <c r="I1585" i="2"/>
  <c r="J1585" i="2"/>
  <c r="E1586" i="2"/>
  <c r="F1586" i="2"/>
  <c r="I1586" i="2"/>
  <c r="J1586" i="2"/>
  <c r="E1587" i="2"/>
  <c r="F1587" i="2"/>
  <c r="I1587" i="2"/>
  <c r="J1587" i="2"/>
  <c r="E1588" i="2"/>
  <c r="F1588" i="2"/>
  <c r="I1588" i="2"/>
  <c r="E1589" i="2"/>
  <c r="F1589" i="2"/>
  <c r="I1589" i="2"/>
  <c r="E1590" i="2"/>
  <c r="F1590" i="2"/>
  <c r="I1590" i="2"/>
  <c r="E1591" i="2"/>
  <c r="I1591" i="2"/>
  <c r="J1591" i="2"/>
  <c r="E1592" i="2"/>
  <c r="I1592" i="2"/>
  <c r="J1592" i="2"/>
  <c r="E1593" i="2"/>
  <c r="I1593" i="2"/>
  <c r="J1593" i="2"/>
  <c r="E1594" i="2"/>
  <c r="I1594" i="2"/>
  <c r="J1594" i="2"/>
  <c r="E1595" i="2"/>
  <c r="F1595" i="2"/>
  <c r="I1595" i="2"/>
  <c r="E1596" i="2"/>
  <c r="I1596" i="2"/>
  <c r="J1596" i="2"/>
  <c r="E1597" i="2"/>
  <c r="I1597" i="2"/>
  <c r="J1597" i="2"/>
  <c r="E1598" i="2"/>
  <c r="F1598" i="2"/>
  <c r="I1598" i="2"/>
  <c r="E1599" i="2"/>
  <c r="F1599" i="2"/>
  <c r="I1599" i="2"/>
  <c r="E1600" i="2"/>
  <c r="I1600" i="2"/>
  <c r="J1600" i="2"/>
  <c r="E1601" i="2"/>
  <c r="F1601" i="2"/>
  <c r="I1601" i="2"/>
  <c r="J1601" i="2"/>
  <c r="E1602" i="2"/>
  <c r="I1602" i="2"/>
  <c r="E1603" i="2"/>
  <c r="I1603" i="2"/>
  <c r="E1604" i="2"/>
  <c r="I1604" i="2"/>
  <c r="J1604" i="2"/>
  <c r="E1605" i="2"/>
  <c r="F1605" i="2"/>
  <c r="I1605" i="2"/>
  <c r="E1606" i="2"/>
  <c r="I1606" i="2"/>
  <c r="J1606" i="2"/>
  <c r="E1607" i="2"/>
  <c r="F1607" i="2"/>
  <c r="I1607" i="2"/>
  <c r="E1608" i="2"/>
  <c r="I1608" i="2"/>
  <c r="J1608" i="2"/>
  <c r="E1609" i="2"/>
  <c r="F1609" i="2"/>
  <c r="I1609" i="2"/>
  <c r="E1610" i="2"/>
  <c r="I1610" i="2"/>
  <c r="E1611" i="2"/>
  <c r="I1611" i="2"/>
  <c r="J1611" i="2"/>
  <c r="E1612" i="2"/>
  <c r="F1612" i="2"/>
  <c r="I1612" i="2"/>
  <c r="E1613" i="2"/>
  <c r="F1613" i="2"/>
  <c r="I1613" i="2"/>
  <c r="E1614" i="2"/>
  <c r="I1614" i="2"/>
  <c r="E1615" i="2"/>
  <c r="F1615" i="2"/>
  <c r="I1615" i="2"/>
  <c r="J1615" i="2"/>
  <c r="E1616" i="2"/>
  <c r="F1616" i="2"/>
  <c r="I1616" i="2"/>
  <c r="J1616" i="2"/>
  <c r="E1617" i="2"/>
  <c r="F1617" i="2"/>
  <c r="I1617" i="2"/>
  <c r="E1618" i="2"/>
  <c r="I1618" i="2"/>
  <c r="J1618" i="2"/>
  <c r="E1619" i="2"/>
  <c r="I1619" i="2"/>
  <c r="E1620" i="2"/>
  <c r="I1620" i="2"/>
  <c r="J1620" i="2"/>
  <c r="E1621" i="2"/>
  <c r="F1621" i="2"/>
  <c r="I1621" i="2"/>
  <c r="E1622" i="2"/>
  <c r="F1622" i="2"/>
  <c r="I1622" i="2"/>
  <c r="J1622" i="2"/>
  <c r="E1623" i="2"/>
  <c r="F1623" i="2"/>
  <c r="I1623" i="2"/>
  <c r="J1623" i="2"/>
  <c r="E1624" i="2"/>
  <c r="F1624" i="2"/>
  <c r="I1624" i="2"/>
  <c r="E1625" i="2"/>
  <c r="F1625" i="2"/>
  <c r="I1625" i="2"/>
  <c r="E1626" i="2"/>
  <c r="I1626" i="2"/>
  <c r="E1627" i="2"/>
  <c r="I1627" i="2"/>
  <c r="J1627" i="2"/>
  <c r="E1628" i="2"/>
  <c r="F1628" i="2"/>
  <c r="I1628" i="2"/>
  <c r="J1628" i="2"/>
  <c r="E1629" i="2"/>
  <c r="F1629" i="2"/>
  <c r="I1629" i="2"/>
  <c r="J1629" i="2"/>
  <c r="E1630" i="2"/>
  <c r="I1630" i="2"/>
  <c r="J1630" i="2"/>
  <c r="E1631" i="2"/>
  <c r="F1631" i="2"/>
  <c r="I1631" i="2"/>
  <c r="J1631" i="2"/>
  <c r="E1632" i="2"/>
  <c r="I1632" i="2"/>
  <c r="J1632" i="2"/>
  <c r="E1633" i="2"/>
  <c r="I1633" i="2"/>
  <c r="J1633" i="2"/>
  <c r="E1634" i="2"/>
  <c r="I1634" i="2"/>
  <c r="J1634" i="2"/>
  <c r="E1635" i="2"/>
  <c r="F1635" i="2"/>
  <c r="I1635" i="2"/>
  <c r="J1635" i="2"/>
  <c r="E1636" i="2"/>
  <c r="I1636" i="2"/>
  <c r="J1636" i="2"/>
  <c r="E1637" i="2"/>
  <c r="F1637" i="2"/>
  <c r="I1637" i="2"/>
  <c r="J1637" i="2"/>
  <c r="E1638" i="2"/>
  <c r="I1638" i="2"/>
  <c r="J1638" i="2"/>
  <c r="E1639" i="2"/>
  <c r="I1639" i="2"/>
  <c r="J1639" i="2"/>
  <c r="E1640" i="2"/>
  <c r="I1640" i="2"/>
  <c r="J1640" i="2"/>
  <c r="E1641" i="2"/>
  <c r="I1641" i="2"/>
  <c r="J1641" i="2"/>
  <c r="E1642" i="2"/>
  <c r="I1642" i="2"/>
  <c r="J1642" i="2"/>
  <c r="E1643" i="2"/>
  <c r="F1643" i="2"/>
  <c r="I1643" i="2"/>
  <c r="J1643" i="2"/>
  <c r="E1644" i="2"/>
  <c r="F1644" i="2"/>
  <c r="I1644" i="2"/>
  <c r="J1644" i="2"/>
  <c r="E1645" i="2"/>
  <c r="I1645" i="2"/>
  <c r="E1646" i="2"/>
  <c r="I1646" i="2"/>
  <c r="J1646" i="2"/>
  <c r="E1647" i="2"/>
  <c r="I1647" i="2"/>
  <c r="E1648" i="2"/>
  <c r="I1648" i="2"/>
  <c r="J1648" i="2"/>
  <c r="E1649" i="2"/>
  <c r="I1649" i="2"/>
  <c r="J1649" i="2"/>
  <c r="E1650" i="2"/>
  <c r="F1650" i="2"/>
  <c r="I1650" i="2"/>
  <c r="J1650" i="2"/>
  <c r="E1651" i="2"/>
  <c r="F1651" i="2"/>
  <c r="I1651" i="2"/>
  <c r="J1651" i="2"/>
  <c r="E1652" i="2"/>
  <c r="F1652" i="2"/>
  <c r="I1652" i="2"/>
  <c r="J1652" i="2"/>
  <c r="E1653" i="2"/>
  <c r="F1653" i="2"/>
  <c r="I1653" i="2"/>
  <c r="J1653" i="2"/>
  <c r="E1654" i="2"/>
  <c r="I1654" i="2"/>
  <c r="E1655" i="2"/>
  <c r="F1655" i="2"/>
  <c r="I1655" i="2"/>
  <c r="J1655" i="2"/>
  <c r="E1656" i="2"/>
  <c r="I1656" i="2"/>
  <c r="E1657" i="2"/>
  <c r="F1657" i="2"/>
  <c r="I1657" i="2"/>
  <c r="J1657" i="2"/>
  <c r="E1658" i="2"/>
  <c r="F1658" i="2"/>
  <c r="I1658" i="2"/>
  <c r="J1658" i="2"/>
  <c r="E1659" i="2"/>
  <c r="F1659" i="2"/>
  <c r="I1659" i="2"/>
  <c r="J1659" i="2"/>
  <c r="E1660" i="2"/>
  <c r="F1660" i="2"/>
  <c r="I1660" i="2"/>
  <c r="J1660" i="2"/>
  <c r="E1661" i="2"/>
  <c r="F1661" i="2"/>
  <c r="I1661" i="2"/>
  <c r="J1661" i="2"/>
  <c r="E1662" i="2"/>
  <c r="F1662" i="2"/>
  <c r="I1662" i="2"/>
  <c r="J1662" i="2"/>
  <c r="E1663" i="2"/>
  <c r="F1663" i="2"/>
  <c r="I1663" i="2"/>
  <c r="J1663" i="2"/>
  <c r="E1664" i="2"/>
  <c r="F1664" i="2"/>
  <c r="I1664" i="2"/>
  <c r="J1664" i="2"/>
  <c r="E1665" i="2"/>
  <c r="F1665" i="2"/>
  <c r="I1665" i="2"/>
  <c r="E1666" i="2"/>
  <c r="F1666" i="2"/>
  <c r="I1666" i="2"/>
  <c r="E1667" i="2"/>
  <c r="F1667" i="2"/>
  <c r="I1667" i="2"/>
  <c r="E1668" i="2"/>
  <c r="F1668" i="2"/>
  <c r="I1668" i="2"/>
  <c r="E1669" i="2"/>
  <c r="F1669" i="2"/>
  <c r="I1669" i="2"/>
  <c r="E1670" i="2"/>
  <c r="F1670" i="2"/>
  <c r="I1670" i="2"/>
  <c r="E1671" i="2"/>
  <c r="F1671" i="2"/>
  <c r="I1671" i="2"/>
  <c r="E1672" i="2"/>
  <c r="I1672" i="2"/>
  <c r="J1672" i="2"/>
  <c r="E1673" i="2"/>
  <c r="F1673" i="2"/>
  <c r="I1673" i="2"/>
  <c r="E1674" i="2"/>
  <c r="I1674" i="2"/>
  <c r="E1675" i="2"/>
  <c r="F1675" i="2"/>
  <c r="I1675" i="2"/>
  <c r="E1676" i="2"/>
  <c r="F1676" i="2"/>
  <c r="I1676" i="2"/>
  <c r="E1677" i="2"/>
  <c r="F1677" i="2"/>
  <c r="I1677" i="2"/>
  <c r="J1677" i="2"/>
  <c r="E1678" i="2"/>
  <c r="I1678" i="2"/>
  <c r="J1678" i="2"/>
  <c r="E1679" i="2"/>
  <c r="I1679" i="2"/>
  <c r="E1680" i="2"/>
  <c r="F1680" i="2"/>
  <c r="I1680" i="2"/>
  <c r="J1680" i="2"/>
  <c r="E1681" i="2"/>
  <c r="F1681" i="2"/>
  <c r="I1681" i="2"/>
  <c r="J1681" i="2"/>
  <c r="E1682" i="2"/>
  <c r="F1682" i="2"/>
  <c r="I1682" i="2"/>
  <c r="E1683" i="2"/>
  <c r="I1683" i="2"/>
  <c r="J1683" i="2"/>
  <c r="E1684" i="2"/>
  <c r="F1684" i="2"/>
  <c r="I1684" i="2"/>
  <c r="E1685" i="2"/>
  <c r="I1685" i="2"/>
  <c r="J1685" i="2"/>
  <c r="E1686" i="2"/>
  <c r="F1686" i="2"/>
  <c r="I1686" i="2"/>
  <c r="E1687" i="2"/>
  <c r="F1687" i="2"/>
  <c r="I1687" i="2"/>
  <c r="E1688" i="2"/>
  <c r="I1688" i="2"/>
  <c r="J1688" i="2"/>
  <c r="E1689" i="2"/>
  <c r="F1689" i="2"/>
  <c r="I1689" i="2"/>
  <c r="J1689" i="2"/>
  <c r="E1690" i="2"/>
  <c r="I1690" i="2"/>
  <c r="J1690" i="2"/>
  <c r="E1691" i="2"/>
  <c r="I1691" i="2"/>
  <c r="E1692" i="2"/>
  <c r="F1692" i="2"/>
  <c r="I1692" i="2"/>
  <c r="E1693" i="2"/>
  <c r="F1693" i="2"/>
  <c r="I1693" i="2"/>
  <c r="J1693" i="2"/>
  <c r="E1694" i="2"/>
  <c r="I1694" i="2"/>
  <c r="J1694" i="2"/>
  <c r="E1695" i="2"/>
  <c r="I1695" i="2"/>
  <c r="J1695" i="2"/>
  <c r="E1696" i="2"/>
  <c r="F1696" i="2"/>
  <c r="I1696" i="2"/>
  <c r="E1697" i="2"/>
  <c r="F1697" i="2"/>
  <c r="I1697" i="2"/>
  <c r="E1698" i="2"/>
  <c r="I1698" i="2"/>
  <c r="J1698" i="2"/>
  <c r="E1699" i="2"/>
  <c r="I1699" i="2"/>
  <c r="J1699" i="2"/>
  <c r="E1700" i="2"/>
  <c r="I1700" i="2"/>
  <c r="E1701" i="2"/>
  <c r="F1701" i="2"/>
  <c r="I1701" i="2"/>
  <c r="E1702" i="2"/>
  <c r="F1702" i="2"/>
  <c r="I1702" i="2"/>
  <c r="J1702" i="2"/>
  <c r="E1703" i="2"/>
  <c r="I1703" i="2"/>
  <c r="E1704" i="2"/>
  <c r="I1704" i="2"/>
  <c r="J1704" i="2"/>
  <c r="E1705" i="2"/>
  <c r="I1705" i="2"/>
  <c r="J1705" i="2"/>
  <c r="E1706" i="2"/>
  <c r="I1706" i="2"/>
  <c r="J1706" i="2"/>
  <c r="E1707" i="2"/>
  <c r="I1707" i="2"/>
  <c r="J1707" i="2"/>
  <c r="E1708" i="2"/>
  <c r="I1708" i="2"/>
  <c r="J1708" i="2"/>
  <c r="E1709" i="2"/>
  <c r="I1709" i="2"/>
  <c r="J1709" i="2"/>
  <c r="E1710" i="2"/>
  <c r="I1710" i="2"/>
  <c r="E1711" i="2"/>
  <c r="I1711" i="2"/>
  <c r="E1712" i="2"/>
  <c r="I1712" i="2"/>
  <c r="E1713" i="2"/>
  <c r="I1713" i="2"/>
  <c r="E1714" i="2"/>
  <c r="I1714" i="2"/>
  <c r="E1715" i="2"/>
  <c r="F1715" i="2"/>
  <c r="I1715" i="2"/>
  <c r="E1716" i="2"/>
  <c r="I1716" i="2"/>
  <c r="E1717" i="2"/>
  <c r="F1717" i="2"/>
  <c r="I1717" i="2"/>
  <c r="E1718" i="2"/>
  <c r="F1718" i="2"/>
  <c r="I1718" i="2"/>
  <c r="J1718" i="2"/>
  <c r="E1719" i="2"/>
  <c r="I1719" i="2"/>
  <c r="J1719" i="2"/>
  <c r="E1720" i="2"/>
  <c r="I1720" i="2"/>
  <c r="J1720" i="2"/>
  <c r="E1721" i="2"/>
  <c r="I1721" i="2"/>
  <c r="J1721" i="2"/>
  <c r="E1722" i="2"/>
  <c r="I1722" i="2"/>
  <c r="J1722" i="2"/>
  <c r="E1723" i="2"/>
  <c r="I1723" i="2"/>
  <c r="J1723" i="2"/>
  <c r="E1724" i="2"/>
  <c r="F1724" i="2"/>
  <c r="I1724" i="2"/>
  <c r="J1724" i="2"/>
  <c r="E1725" i="2"/>
  <c r="I1725" i="2"/>
  <c r="J1725" i="2"/>
  <c r="E1726" i="2"/>
  <c r="I1726" i="2"/>
  <c r="E1727" i="2"/>
  <c r="I1727" i="2"/>
  <c r="J1727" i="2"/>
  <c r="E1728" i="2"/>
  <c r="I1728" i="2"/>
  <c r="J1728" i="2"/>
  <c r="E1729" i="2"/>
  <c r="I1729" i="2"/>
  <c r="E1730" i="2"/>
  <c r="F1730" i="2"/>
  <c r="I1730" i="2"/>
  <c r="E1731" i="2"/>
  <c r="F1731" i="2"/>
  <c r="I1731" i="2"/>
  <c r="E1732" i="2"/>
  <c r="F1732" i="2"/>
  <c r="I1732" i="2"/>
  <c r="E1733" i="2"/>
  <c r="F1733" i="2"/>
  <c r="I1733" i="2"/>
  <c r="E1734" i="2"/>
  <c r="F1734" i="2"/>
  <c r="I1734" i="2"/>
  <c r="E1735" i="2"/>
  <c r="F1735" i="2"/>
  <c r="I1735" i="2"/>
  <c r="E1736" i="2"/>
  <c r="F1736" i="2"/>
  <c r="I1736" i="2"/>
  <c r="J1736" i="2"/>
  <c r="E1737" i="2"/>
  <c r="I1737" i="2"/>
  <c r="J1737" i="2"/>
  <c r="E1738" i="2"/>
  <c r="I1738" i="2"/>
  <c r="J1738" i="2"/>
  <c r="E1739" i="2"/>
  <c r="I1739" i="2"/>
  <c r="J1739" i="2"/>
  <c r="E1740" i="2"/>
  <c r="I1740" i="2"/>
  <c r="J1740" i="2"/>
  <c r="E1741" i="2"/>
  <c r="I1741" i="2"/>
  <c r="J1741" i="2"/>
  <c r="E1742" i="2"/>
  <c r="I1742" i="2"/>
  <c r="E1743" i="2"/>
  <c r="I1743" i="2"/>
  <c r="E1744" i="2"/>
  <c r="I1744" i="2"/>
  <c r="E1745" i="2"/>
  <c r="I1745" i="2"/>
  <c r="E1746" i="2"/>
  <c r="I1746" i="2"/>
  <c r="E1747" i="2"/>
  <c r="I1747" i="2"/>
  <c r="E1748" i="2"/>
  <c r="I1748" i="2"/>
  <c r="E1749" i="2"/>
  <c r="I1749" i="2"/>
  <c r="E1750" i="2"/>
  <c r="I1750" i="2"/>
  <c r="E1751" i="2"/>
  <c r="I1751" i="2"/>
  <c r="E1752" i="2"/>
  <c r="I1752" i="2"/>
  <c r="E1753" i="2"/>
  <c r="I1753" i="2"/>
  <c r="E1754" i="2"/>
  <c r="I1754" i="2"/>
  <c r="E1755" i="2"/>
  <c r="I1755" i="2"/>
  <c r="E1756" i="2"/>
  <c r="F1756" i="2"/>
  <c r="I1756" i="2"/>
  <c r="E1757" i="2"/>
  <c r="F1757" i="2"/>
  <c r="I1757" i="2"/>
  <c r="E1758" i="2"/>
  <c r="I1758" i="2"/>
  <c r="J1758" i="2"/>
  <c r="E1759" i="2"/>
  <c r="I1759" i="2"/>
  <c r="J1759" i="2"/>
  <c r="E1760" i="2"/>
  <c r="I1760" i="2"/>
  <c r="E1761" i="2"/>
  <c r="I1761" i="2"/>
  <c r="E1762" i="2"/>
  <c r="I1762" i="2"/>
  <c r="J1762" i="2"/>
  <c r="E1763" i="2"/>
  <c r="F1763" i="2"/>
  <c r="I1763" i="2"/>
  <c r="J1763" i="2"/>
  <c r="E1764" i="2"/>
  <c r="I1764" i="2"/>
  <c r="J1764" i="2"/>
  <c r="E1765" i="2"/>
  <c r="F1765" i="2"/>
  <c r="I1765" i="2"/>
  <c r="E1766" i="2"/>
  <c r="F1766" i="2"/>
  <c r="I1766" i="2"/>
  <c r="E1767" i="2"/>
  <c r="I1767" i="2"/>
  <c r="J1767" i="2"/>
  <c r="E1768" i="2"/>
  <c r="I1768" i="2"/>
  <c r="J1768" i="2"/>
  <c r="E1769" i="2"/>
  <c r="I1769" i="2"/>
  <c r="J1769" i="2"/>
  <c r="E1770" i="2"/>
  <c r="I1770" i="2"/>
  <c r="J1770" i="2"/>
  <c r="E1771" i="2"/>
  <c r="I1771" i="2"/>
  <c r="J1771" i="2"/>
  <c r="E1772" i="2"/>
  <c r="I1772" i="2"/>
  <c r="J1772" i="2"/>
  <c r="E1773" i="2"/>
  <c r="F1773" i="2"/>
  <c r="I1773" i="2"/>
  <c r="E1774" i="2"/>
  <c r="I1774" i="2"/>
  <c r="J1774" i="2"/>
  <c r="E1775" i="2"/>
  <c r="I1775" i="2"/>
  <c r="E1776" i="2"/>
  <c r="F1776" i="2"/>
  <c r="I1776" i="2"/>
  <c r="E1777" i="2"/>
  <c r="I1777" i="2"/>
  <c r="J1777" i="2"/>
  <c r="E1778" i="2"/>
  <c r="F1778" i="2"/>
  <c r="I1778" i="2"/>
  <c r="E1779" i="2"/>
  <c r="I1779" i="2"/>
  <c r="J1779" i="2"/>
  <c r="E1780" i="2"/>
  <c r="I1780" i="2"/>
  <c r="E1781" i="2"/>
  <c r="I1781" i="2"/>
  <c r="J1781" i="2"/>
  <c r="E1782" i="2"/>
  <c r="F1782" i="2"/>
  <c r="I1782" i="2"/>
  <c r="E1783" i="2"/>
  <c r="I1783" i="2"/>
  <c r="E1784" i="2"/>
  <c r="I1784" i="2"/>
  <c r="J1784" i="2"/>
  <c r="E1785" i="2"/>
  <c r="F1785" i="2"/>
  <c r="I1785" i="2"/>
  <c r="E1786" i="2"/>
  <c r="I1786" i="2"/>
  <c r="J1786" i="2"/>
  <c r="E1787" i="2"/>
  <c r="I1787" i="2"/>
  <c r="J1787" i="2"/>
  <c r="E1788" i="2"/>
  <c r="I1788" i="2"/>
  <c r="J1788" i="2"/>
  <c r="E1789" i="2"/>
  <c r="F1789" i="2"/>
  <c r="I1789" i="2"/>
  <c r="E1790" i="2"/>
  <c r="I1790" i="2"/>
  <c r="J1790" i="2"/>
  <c r="E1791" i="2"/>
  <c r="I1791" i="2"/>
  <c r="J1791" i="2"/>
  <c r="E1792" i="2"/>
  <c r="F1792" i="2"/>
  <c r="I1792" i="2"/>
  <c r="E1793" i="2"/>
  <c r="I1793" i="2"/>
  <c r="E1794" i="2"/>
  <c r="I1794" i="2"/>
  <c r="J1794" i="2"/>
  <c r="E1795" i="2"/>
  <c r="I1795" i="2"/>
  <c r="J1795" i="2"/>
  <c r="E1796" i="2"/>
  <c r="I1796" i="2"/>
  <c r="J1796" i="2"/>
  <c r="E1797" i="2"/>
  <c r="I1797" i="2"/>
  <c r="J1797" i="2"/>
  <c r="E1798" i="2"/>
  <c r="I1798" i="2"/>
  <c r="J1798" i="2"/>
  <c r="E1799" i="2"/>
  <c r="I1799" i="2"/>
  <c r="J1799" i="2"/>
  <c r="E1800" i="2"/>
  <c r="I1800" i="2"/>
  <c r="J1800" i="2"/>
  <c r="E1801" i="2"/>
  <c r="I1801" i="2"/>
  <c r="J1801" i="2"/>
  <c r="E1802" i="2"/>
  <c r="I1802" i="2"/>
  <c r="J1802" i="2"/>
  <c r="E1803" i="2"/>
  <c r="I1803" i="2"/>
  <c r="J1803" i="2"/>
  <c r="E1804" i="2"/>
  <c r="I1804" i="2"/>
  <c r="J1804" i="2"/>
  <c r="E1805" i="2"/>
  <c r="I1805" i="2"/>
  <c r="J1805" i="2"/>
  <c r="E1806" i="2"/>
  <c r="I1806" i="2"/>
  <c r="J1806" i="2"/>
  <c r="E1807" i="2"/>
  <c r="I1807" i="2"/>
  <c r="J1807" i="2"/>
  <c r="E1808" i="2"/>
  <c r="I1808" i="2"/>
  <c r="J1808" i="2"/>
  <c r="E1809" i="2"/>
  <c r="F1809" i="2"/>
  <c r="I1809" i="2"/>
  <c r="E1810" i="2"/>
  <c r="I1810" i="2"/>
  <c r="E1811" i="2"/>
  <c r="F1811" i="2"/>
  <c r="I1811" i="2"/>
  <c r="E1812" i="2"/>
  <c r="F1812" i="2"/>
  <c r="I1812" i="2"/>
  <c r="E1813" i="2"/>
  <c r="F1813" i="2"/>
  <c r="I1813" i="2"/>
  <c r="J1813" i="2"/>
  <c r="E1814" i="2"/>
  <c r="F1814" i="2"/>
  <c r="I1814" i="2"/>
  <c r="E1815" i="2"/>
  <c r="F1815" i="2"/>
  <c r="I1815" i="2"/>
  <c r="J1815" i="2"/>
  <c r="E1816" i="2"/>
  <c r="I1816" i="2"/>
  <c r="J1816" i="2"/>
  <c r="E1817" i="2"/>
  <c r="I1817" i="2"/>
  <c r="J1817" i="2"/>
  <c r="E1818" i="2"/>
  <c r="I1818" i="2"/>
  <c r="E1819" i="2"/>
  <c r="I1819" i="2"/>
  <c r="J1819" i="2"/>
  <c r="E1820" i="2"/>
  <c r="F1820" i="2"/>
  <c r="I1820" i="2"/>
  <c r="E1821" i="2"/>
  <c r="F1821" i="2"/>
  <c r="I1821" i="2"/>
  <c r="E1822" i="2"/>
  <c r="F1822" i="2"/>
  <c r="I1822" i="2"/>
  <c r="E1823" i="2"/>
  <c r="F1823" i="2"/>
  <c r="I1823" i="2"/>
  <c r="E1824" i="2"/>
  <c r="F1824" i="2"/>
  <c r="I1824" i="2"/>
  <c r="E1825" i="2"/>
  <c r="F1825" i="2"/>
  <c r="I1825" i="2"/>
  <c r="E1826" i="2"/>
  <c r="F1826" i="2"/>
  <c r="I1826" i="2"/>
  <c r="E1827" i="2"/>
  <c r="F1827" i="2"/>
  <c r="I1827" i="2"/>
  <c r="J1827" i="2"/>
  <c r="E1828" i="2"/>
  <c r="I1828" i="2"/>
  <c r="J1828" i="2"/>
  <c r="E1829" i="2"/>
  <c r="I1829" i="2"/>
  <c r="J1829" i="2"/>
  <c r="E1830" i="2"/>
  <c r="F1830" i="2"/>
  <c r="I1830" i="2"/>
  <c r="E1831" i="2"/>
  <c r="I1831" i="2"/>
  <c r="J1831" i="2"/>
  <c r="E1832" i="2"/>
  <c r="I1832" i="2"/>
  <c r="J1832" i="2"/>
  <c r="E1833" i="2"/>
  <c r="I1833" i="2"/>
  <c r="J1833" i="2"/>
  <c r="E1834" i="2"/>
  <c r="I1834" i="2"/>
  <c r="J1834" i="2"/>
  <c r="E1835" i="2"/>
  <c r="F1835" i="2"/>
  <c r="I1835" i="2"/>
  <c r="J1835" i="2"/>
  <c r="E1836" i="2"/>
  <c r="F1836" i="2"/>
  <c r="I1836" i="2"/>
  <c r="J1836" i="2"/>
  <c r="E1837" i="2"/>
  <c r="F1837" i="2"/>
  <c r="I1837" i="2"/>
  <c r="J1837" i="2"/>
  <c r="E1838" i="2"/>
  <c r="I1838" i="2"/>
  <c r="E1839" i="2"/>
  <c r="F1839" i="2"/>
  <c r="I1839" i="2"/>
  <c r="E1840" i="2"/>
  <c r="F1840" i="2"/>
  <c r="I1840" i="2"/>
  <c r="E1841" i="2"/>
  <c r="F1841" i="2"/>
  <c r="I1841" i="2"/>
  <c r="E1842" i="2"/>
  <c r="F1842" i="2"/>
  <c r="I1842" i="2"/>
  <c r="E1843" i="2"/>
  <c r="F1843" i="2"/>
  <c r="I1843" i="2"/>
  <c r="E1844" i="2"/>
  <c r="F1844" i="2"/>
  <c r="I1844" i="2"/>
  <c r="E1845" i="2"/>
  <c r="F1845" i="2"/>
  <c r="I1845" i="2"/>
  <c r="E1846" i="2"/>
  <c r="I1846" i="2"/>
  <c r="J1846" i="2"/>
  <c r="E1847" i="2"/>
  <c r="I1847" i="2"/>
  <c r="J1847" i="2"/>
  <c r="E1848" i="2"/>
  <c r="I1848" i="2"/>
  <c r="J1848" i="2"/>
  <c r="E1849" i="2"/>
  <c r="F1849" i="2"/>
  <c r="I1849" i="2"/>
  <c r="J1849" i="2"/>
  <c r="E1850" i="2"/>
  <c r="I1850" i="2"/>
  <c r="J1850" i="2"/>
  <c r="E1851" i="2"/>
  <c r="F1851" i="2"/>
  <c r="I1851" i="2"/>
  <c r="E1852" i="2"/>
  <c r="F1852" i="2"/>
  <c r="I1852" i="2"/>
  <c r="J1852" i="2"/>
  <c r="E1853" i="2"/>
  <c r="F1853" i="2"/>
  <c r="I1853" i="2"/>
  <c r="E1854" i="2"/>
  <c r="F1854" i="2"/>
  <c r="I1854" i="2"/>
  <c r="E1855" i="2"/>
  <c r="F1855" i="2"/>
  <c r="I1855" i="2"/>
  <c r="J1855" i="2"/>
  <c r="E1856" i="2"/>
  <c r="F1856" i="2"/>
  <c r="I1856" i="2"/>
  <c r="J1856" i="2"/>
  <c r="E1857" i="2"/>
  <c r="F1857" i="2"/>
  <c r="I1857" i="2"/>
  <c r="J1857" i="2"/>
  <c r="E1858" i="2"/>
  <c r="F1858" i="2"/>
  <c r="I1858" i="2"/>
  <c r="J1858" i="2"/>
  <c r="E1859" i="2"/>
  <c r="F1859" i="2"/>
  <c r="I1859" i="2"/>
  <c r="J1859" i="2"/>
  <c r="E1860" i="2"/>
  <c r="F1860" i="2"/>
  <c r="I1860" i="2"/>
  <c r="E1861" i="2"/>
  <c r="I1861" i="2"/>
  <c r="J1861" i="2"/>
  <c r="E1862" i="2"/>
  <c r="I1862" i="2"/>
  <c r="J1862" i="2"/>
  <c r="E1863" i="2"/>
  <c r="F1863" i="2"/>
  <c r="I1863" i="2"/>
  <c r="J1863" i="2"/>
  <c r="E1864" i="2"/>
  <c r="F1864" i="2"/>
  <c r="I1864" i="2"/>
  <c r="J1864" i="2"/>
  <c r="E1865" i="2"/>
  <c r="F1865" i="2"/>
  <c r="I1865" i="2"/>
  <c r="J1865" i="2"/>
  <c r="E1866" i="2"/>
  <c r="F1866" i="2"/>
  <c r="I1866" i="2"/>
  <c r="E1867" i="2"/>
  <c r="F1867" i="2"/>
  <c r="I1867" i="2"/>
  <c r="E1868" i="2"/>
  <c r="F1868" i="2"/>
  <c r="I1868" i="2"/>
  <c r="E1869" i="2"/>
  <c r="F1869" i="2"/>
  <c r="I1869" i="2"/>
  <c r="E1870" i="2"/>
  <c r="I1870" i="2"/>
  <c r="E1871" i="2"/>
  <c r="I1871" i="2"/>
  <c r="E1872" i="2"/>
  <c r="I1872" i="2"/>
  <c r="E1873" i="2"/>
  <c r="I1873" i="2"/>
  <c r="E1874" i="2"/>
  <c r="F1874" i="2"/>
  <c r="I1874" i="2"/>
  <c r="E1875" i="2"/>
  <c r="F1875" i="2"/>
  <c r="I1875" i="2"/>
  <c r="J1875" i="2"/>
  <c r="E1876" i="2"/>
  <c r="I1876" i="2"/>
  <c r="J1876" i="2"/>
  <c r="E1877" i="2"/>
  <c r="I1877" i="2"/>
  <c r="J1877" i="2"/>
  <c r="E1878" i="2"/>
  <c r="I1878" i="2"/>
  <c r="J1878" i="2"/>
  <c r="E1879" i="2"/>
  <c r="I1879" i="2"/>
  <c r="J1879" i="2"/>
  <c r="E1880" i="2"/>
  <c r="F1880" i="2"/>
  <c r="I1880" i="2"/>
  <c r="E1881" i="2"/>
  <c r="I1881" i="2"/>
  <c r="J1881" i="2"/>
  <c r="E1882" i="2"/>
  <c r="I1882" i="2"/>
  <c r="J1882" i="2"/>
  <c r="E1883" i="2"/>
  <c r="I1883" i="2"/>
  <c r="E1884" i="2"/>
  <c r="I1884" i="2"/>
  <c r="J1884" i="2"/>
  <c r="E1885" i="2"/>
  <c r="I1885" i="2"/>
  <c r="J1885" i="2"/>
  <c r="E1886" i="2"/>
  <c r="F1886" i="2"/>
  <c r="I1886" i="2"/>
  <c r="E1887" i="2"/>
  <c r="F1887" i="2"/>
  <c r="I1887" i="2"/>
  <c r="E1888" i="2"/>
  <c r="I1888" i="2"/>
  <c r="J1888" i="2"/>
  <c r="E1889" i="2"/>
  <c r="F1889" i="2"/>
  <c r="I1889" i="2"/>
  <c r="E1890" i="2"/>
  <c r="I1890" i="2"/>
  <c r="E1891" i="2"/>
  <c r="F1891" i="2"/>
  <c r="I1891" i="2"/>
  <c r="J1891" i="2"/>
  <c r="E1892" i="2"/>
  <c r="F1892" i="2"/>
  <c r="I1892" i="2"/>
  <c r="J1892" i="2"/>
  <c r="E1893" i="2"/>
  <c r="F1893" i="2"/>
  <c r="I1893" i="2"/>
  <c r="J1893" i="2"/>
  <c r="E1894" i="2"/>
  <c r="F1894" i="2"/>
  <c r="I1894" i="2"/>
  <c r="J1894" i="2"/>
  <c r="E1895" i="2"/>
  <c r="F1895" i="2"/>
  <c r="I1895" i="2"/>
  <c r="E1896" i="2"/>
  <c r="I1896" i="2"/>
  <c r="J1896" i="2"/>
  <c r="E1897" i="2"/>
  <c r="F1897" i="2"/>
  <c r="I1897" i="2"/>
  <c r="J1897" i="2"/>
  <c r="E1898" i="2"/>
  <c r="I1898" i="2"/>
  <c r="J1898" i="2"/>
  <c r="E1899" i="2"/>
  <c r="F1899" i="2"/>
  <c r="I1899" i="2"/>
  <c r="E1900" i="2"/>
  <c r="I1900" i="2"/>
  <c r="J1900" i="2"/>
  <c r="E1901" i="2"/>
  <c r="I1901" i="2"/>
  <c r="J1901" i="2"/>
  <c r="E1902" i="2"/>
  <c r="I1902" i="2"/>
  <c r="J1902" i="2"/>
  <c r="E1903" i="2"/>
  <c r="F1903" i="2"/>
  <c r="I1903" i="2"/>
  <c r="E1904" i="2"/>
  <c r="I1904" i="2"/>
  <c r="E1905" i="2"/>
  <c r="I1905" i="2"/>
  <c r="J1905" i="2"/>
  <c r="E1906" i="2"/>
  <c r="F1906" i="2"/>
  <c r="I1906" i="2"/>
  <c r="J1906" i="2"/>
  <c r="E1907" i="2"/>
  <c r="F1907" i="2"/>
  <c r="I1907" i="2"/>
  <c r="E1908" i="2"/>
  <c r="F1908" i="2"/>
  <c r="I1908" i="2"/>
  <c r="E1909" i="2"/>
  <c r="F1909" i="2"/>
  <c r="I1909" i="2"/>
  <c r="J1909" i="2"/>
  <c r="E1910" i="2"/>
  <c r="I1910" i="2"/>
  <c r="E1911" i="2"/>
  <c r="F1911" i="2"/>
  <c r="I1911" i="2"/>
  <c r="J1911" i="2"/>
  <c r="E1912" i="2"/>
  <c r="F1912" i="2"/>
  <c r="I1912" i="2"/>
  <c r="J1912" i="2"/>
  <c r="E1913" i="2"/>
  <c r="I1913" i="2"/>
  <c r="J1913" i="2"/>
  <c r="E1914" i="2"/>
  <c r="F1914" i="2"/>
  <c r="I1914" i="2"/>
  <c r="J1914" i="2"/>
  <c r="E1915" i="2"/>
  <c r="I1915" i="2"/>
  <c r="E1916" i="2"/>
  <c r="F1916" i="2"/>
  <c r="I1916" i="2"/>
  <c r="E1917" i="2"/>
  <c r="F1917" i="2"/>
  <c r="I1917" i="2"/>
  <c r="J1917" i="2"/>
  <c r="E1918" i="2"/>
  <c r="F1918" i="2"/>
  <c r="I1918" i="2"/>
  <c r="E1919" i="2"/>
  <c r="F1919" i="2"/>
  <c r="I1919" i="2"/>
  <c r="J1919" i="2"/>
  <c r="E1920" i="2"/>
  <c r="F1920" i="2"/>
  <c r="I1920" i="2"/>
  <c r="J1920" i="2"/>
  <c r="E1921" i="2"/>
  <c r="F1921" i="2"/>
  <c r="I1921" i="2"/>
  <c r="J1921" i="2"/>
  <c r="E1922" i="2"/>
  <c r="F1922" i="2"/>
  <c r="I1922" i="2"/>
  <c r="E1923" i="2"/>
  <c r="I1923" i="2"/>
  <c r="J1923" i="2"/>
  <c r="E1924" i="2"/>
  <c r="F1924" i="2"/>
  <c r="I1924" i="2"/>
  <c r="E1925" i="2"/>
  <c r="F1925" i="2"/>
  <c r="I1925" i="2"/>
  <c r="E1926" i="2"/>
  <c r="I1926" i="2"/>
  <c r="J1926" i="2"/>
  <c r="E1927" i="2"/>
  <c r="F1927" i="2"/>
  <c r="I1927" i="2"/>
  <c r="E1928" i="2"/>
  <c r="F1928" i="2"/>
  <c r="I1928" i="2"/>
  <c r="J1928" i="2"/>
  <c r="E1929" i="2"/>
  <c r="I1929" i="2"/>
  <c r="E1930" i="2"/>
  <c r="I1930" i="2"/>
  <c r="J1930" i="2"/>
  <c r="E1931" i="2"/>
  <c r="I1931" i="2"/>
  <c r="J1931" i="2"/>
  <c r="E1932" i="2"/>
  <c r="F1932" i="2"/>
  <c r="I1932" i="2"/>
  <c r="J1932" i="2"/>
  <c r="E1933" i="2"/>
  <c r="F1933" i="2"/>
  <c r="I1933" i="2"/>
  <c r="E1934" i="2"/>
  <c r="F1934" i="2"/>
  <c r="I1934" i="2"/>
  <c r="E1935" i="2"/>
  <c r="I1935" i="2"/>
  <c r="J1935" i="2"/>
  <c r="E1936" i="2"/>
  <c r="F1936" i="2"/>
  <c r="I1936" i="2"/>
  <c r="J1936" i="2"/>
  <c r="E1937" i="2"/>
  <c r="F1937" i="2"/>
  <c r="I1937" i="2"/>
  <c r="J1937" i="2"/>
  <c r="E1938" i="2"/>
  <c r="F1938" i="2"/>
  <c r="I1938" i="2"/>
  <c r="J1938" i="2"/>
  <c r="E1939" i="2"/>
  <c r="F1939" i="2"/>
  <c r="I1939" i="2"/>
  <c r="J1939" i="2"/>
  <c r="E1940" i="2"/>
  <c r="I1940" i="2"/>
  <c r="J1940" i="2"/>
  <c r="E1941" i="2"/>
  <c r="F1941" i="2"/>
  <c r="I1941" i="2"/>
  <c r="J1941" i="2"/>
  <c r="E1942" i="2"/>
  <c r="I1942" i="2"/>
  <c r="J1942" i="2"/>
  <c r="E1943" i="2"/>
  <c r="F1943" i="2"/>
  <c r="I1943" i="2"/>
  <c r="J1943" i="2"/>
  <c r="E1944" i="2"/>
  <c r="F1944" i="2"/>
  <c r="I1944" i="2"/>
  <c r="J1944" i="2"/>
  <c r="E1945" i="2"/>
  <c r="I1945" i="2"/>
  <c r="J1945" i="2"/>
  <c r="E1946" i="2"/>
  <c r="F1946" i="2"/>
  <c r="I1946" i="2"/>
  <c r="J1946" i="2"/>
  <c r="E1947" i="2"/>
  <c r="F1947" i="2"/>
  <c r="I1947" i="2"/>
  <c r="J1947" i="2"/>
  <c r="E1948" i="2"/>
  <c r="F1948" i="2"/>
  <c r="I1948" i="2"/>
  <c r="J1948" i="2"/>
  <c r="E1949" i="2"/>
  <c r="F1949" i="2"/>
  <c r="I1949" i="2"/>
  <c r="E1950" i="2"/>
  <c r="F1950" i="2"/>
  <c r="I1950" i="2"/>
  <c r="J1950" i="2"/>
  <c r="E1951" i="2"/>
  <c r="F1951" i="2"/>
  <c r="I1951" i="2"/>
  <c r="J1951" i="2"/>
  <c r="E1952" i="2"/>
  <c r="F1952" i="2"/>
  <c r="I1952" i="2"/>
  <c r="J1952" i="2"/>
  <c r="E1953" i="2"/>
  <c r="I1953" i="2"/>
  <c r="E1954" i="2"/>
  <c r="I1954" i="2"/>
  <c r="E1955" i="2"/>
  <c r="I1955" i="2"/>
  <c r="E1956" i="2"/>
  <c r="I1956" i="2"/>
  <c r="J1956" i="2"/>
  <c r="E1957" i="2"/>
  <c r="F1957" i="2"/>
  <c r="I1957" i="2"/>
  <c r="E1958" i="2"/>
  <c r="I1958" i="2"/>
  <c r="J1958" i="2"/>
  <c r="E1959" i="2"/>
  <c r="F1959" i="2"/>
  <c r="I1959" i="2"/>
  <c r="J1959" i="2"/>
  <c r="E1960" i="2"/>
  <c r="F1960" i="2"/>
  <c r="I1960" i="2"/>
  <c r="J1960" i="2"/>
  <c r="E1961" i="2"/>
  <c r="I1961" i="2"/>
  <c r="J1961" i="2"/>
  <c r="E1962" i="2"/>
  <c r="F1962" i="2"/>
  <c r="I1962" i="2"/>
  <c r="E1963" i="2"/>
  <c r="I1963" i="2"/>
  <c r="J1963" i="2"/>
  <c r="E1964" i="2"/>
  <c r="I1964" i="2"/>
  <c r="E1965" i="2"/>
  <c r="I1965" i="2"/>
  <c r="E1966" i="2"/>
  <c r="I1966" i="2"/>
  <c r="E1967" i="2"/>
  <c r="I1967" i="2"/>
  <c r="E1968" i="2"/>
  <c r="I1968" i="2"/>
  <c r="E1969" i="2"/>
  <c r="F1969" i="2"/>
  <c r="I1969" i="2"/>
  <c r="E1970" i="2"/>
  <c r="I1970" i="2"/>
  <c r="E1971" i="2"/>
  <c r="I1971" i="2"/>
  <c r="E1972" i="2"/>
  <c r="I1972" i="2"/>
  <c r="E1973" i="2"/>
  <c r="I1973" i="2"/>
  <c r="E1974" i="2"/>
  <c r="F1974" i="2"/>
  <c r="I1974" i="2"/>
  <c r="E1975" i="2"/>
  <c r="F1975" i="2"/>
  <c r="I1975" i="2"/>
  <c r="J1975" i="2"/>
  <c r="E1976" i="2"/>
  <c r="F1976" i="2"/>
  <c r="I1976" i="2"/>
  <c r="J1976" i="2"/>
  <c r="E1977" i="2"/>
  <c r="F1977" i="2"/>
  <c r="I1977" i="2"/>
  <c r="J1977" i="2"/>
  <c r="E1978" i="2"/>
  <c r="F1978" i="2"/>
  <c r="I1978" i="2"/>
  <c r="J1978" i="2"/>
  <c r="E1979" i="2"/>
  <c r="F1979" i="2"/>
  <c r="I1979" i="2"/>
  <c r="J1979" i="2"/>
  <c r="E1980" i="2"/>
  <c r="F1980" i="2"/>
  <c r="I1980" i="2"/>
  <c r="J1980" i="2"/>
  <c r="E1981" i="2"/>
  <c r="I1981" i="2"/>
  <c r="E1982" i="2"/>
  <c r="I1982" i="2"/>
  <c r="J1982" i="2"/>
  <c r="E1983" i="2"/>
  <c r="F1983" i="2"/>
  <c r="I1983" i="2"/>
  <c r="J1983" i="2"/>
  <c r="E1984" i="2"/>
  <c r="I1984" i="2"/>
  <c r="J1984" i="2"/>
  <c r="E1985" i="2"/>
  <c r="F1985" i="2"/>
  <c r="I1985" i="2"/>
  <c r="E1986" i="2"/>
  <c r="F1986" i="2"/>
  <c r="I1986" i="2"/>
  <c r="E1987" i="2"/>
  <c r="I1987" i="2"/>
  <c r="J1987" i="2"/>
  <c r="E1988" i="2"/>
  <c r="F1988" i="2"/>
  <c r="I1988" i="2"/>
  <c r="E1989" i="2"/>
  <c r="I1989" i="2"/>
  <c r="J1989" i="2"/>
  <c r="E1990" i="2"/>
  <c r="I1990" i="2"/>
  <c r="J1990" i="2"/>
  <c r="E1991" i="2"/>
  <c r="F1991" i="2"/>
  <c r="I1991" i="2"/>
  <c r="E1992" i="2"/>
  <c r="F1992" i="2"/>
  <c r="I1992" i="2"/>
  <c r="E1993" i="2"/>
  <c r="I1993" i="2"/>
  <c r="J1993" i="2"/>
  <c r="E1994" i="2"/>
  <c r="I1994" i="2"/>
  <c r="J1994" i="2"/>
  <c r="E1995" i="2"/>
  <c r="I1995" i="2"/>
  <c r="J1995" i="2"/>
  <c r="E1996" i="2"/>
  <c r="I1996" i="2"/>
  <c r="J1996" i="2"/>
  <c r="E1997" i="2"/>
  <c r="F1997" i="2"/>
  <c r="I1997" i="2"/>
  <c r="J1997" i="2"/>
  <c r="E1998" i="2"/>
  <c r="F1998" i="2"/>
  <c r="I1998" i="2"/>
  <c r="J1998" i="2"/>
  <c r="E1999" i="2"/>
  <c r="F1999" i="2"/>
  <c r="I1999" i="2"/>
  <c r="J1999" i="2"/>
  <c r="E2000" i="2"/>
  <c r="F2000" i="2"/>
  <c r="I2000" i="2"/>
  <c r="J2000" i="2"/>
  <c r="E2001" i="2"/>
  <c r="F2001" i="2"/>
  <c r="I2001" i="2"/>
  <c r="J2001" i="2"/>
  <c r="E2002" i="2"/>
  <c r="F2002" i="2"/>
  <c r="I2002" i="2"/>
  <c r="J2002" i="2"/>
  <c r="E2003" i="2"/>
  <c r="I2003" i="2"/>
  <c r="E2004" i="2"/>
  <c r="F2004" i="2"/>
  <c r="I2004" i="2"/>
  <c r="E2005" i="2"/>
  <c r="F2005" i="2"/>
  <c r="I2005" i="2"/>
  <c r="E2006" i="2"/>
  <c r="I2006" i="2"/>
  <c r="E2007" i="2"/>
  <c r="I2007" i="2"/>
  <c r="J2007" i="2"/>
  <c r="E2008" i="2"/>
  <c r="F2008" i="2"/>
  <c r="I2008" i="2"/>
  <c r="E2009" i="2"/>
  <c r="I2009" i="2"/>
  <c r="E2010" i="2"/>
  <c r="F2010" i="2"/>
  <c r="I2010" i="2"/>
  <c r="E2011" i="2"/>
  <c r="F2011" i="2"/>
  <c r="I2011" i="2"/>
  <c r="E2012" i="2"/>
  <c r="F2012" i="2"/>
  <c r="I2012" i="2"/>
  <c r="E2013" i="2"/>
  <c r="F2013" i="2"/>
  <c r="I2013" i="2"/>
  <c r="E2014" i="2"/>
  <c r="I2014" i="2"/>
  <c r="E2015" i="2"/>
  <c r="I2015" i="2"/>
  <c r="J2015" i="2"/>
  <c r="E2016" i="2"/>
  <c r="F2016" i="2"/>
  <c r="I2016" i="2"/>
  <c r="E2017" i="2"/>
  <c r="I2017" i="2"/>
  <c r="J2017" i="2"/>
  <c r="E2018" i="2"/>
  <c r="F2018" i="2"/>
  <c r="I2018" i="2"/>
  <c r="E2019" i="2"/>
  <c r="I2019" i="2"/>
  <c r="J2019" i="2"/>
  <c r="E2020" i="2"/>
  <c r="F2020" i="2"/>
  <c r="I2020" i="2"/>
  <c r="J2020" i="2"/>
  <c r="E2021" i="2"/>
  <c r="I2021" i="2"/>
  <c r="J2021" i="2"/>
  <c r="E2022" i="2"/>
  <c r="F2022" i="2"/>
  <c r="I2022" i="2"/>
  <c r="E2023" i="2"/>
  <c r="F2023" i="2"/>
  <c r="I2023" i="2"/>
  <c r="E2024" i="2"/>
  <c r="I2024" i="2"/>
  <c r="E2025" i="2"/>
  <c r="I2025" i="2"/>
  <c r="E2026" i="2"/>
  <c r="I2026" i="2"/>
  <c r="E2027" i="2"/>
  <c r="F2027" i="2"/>
  <c r="I2027" i="2"/>
  <c r="E2028" i="2"/>
  <c r="F2028" i="2"/>
  <c r="I2028" i="2"/>
  <c r="E2029" i="2"/>
  <c r="F2029" i="2"/>
  <c r="I2029" i="2"/>
  <c r="E2030" i="2"/>
  <c r="I2030" i="2"/>
  <c r="E2031" i="2"/>
  <c r="I2031" i="2"/>
  <c r="E2032" i="2"/>
  <c r="F2032" i="2"/>
  <c r="I2032" i="2"/>
  <c r="J2032" i="2"/>
  <c r="E2033" i="2"/>
  <c r="I2033" i="2"/>
  <c r="J2033" i="2"/>
  <c r="E2034" i="2"/>
  <c r="F2034" i="2"/>
  <c r="I2034" i="2"/>
  <c r="E2035" i="2"/>
  <c r="F2035" i="2"/>
  <c r="I2035" i="2"/>
  <c r="J2035" i="2"/>
  <c r="E2036" i="2"/>
  <c r="F2036" i="2"/>
  <c r="I2036" i="2"/>
  <c r="E2037" i="2"/>
  <c r="F2037" i="2"/>
  <c r="I2037" i="2"/>
  <c r="J2037" i="2"/>
  <c r="E2038" i="2"/>
  <c r="F2038" i="2"/>
  <c r="I2038" i="2"/>
  <c r="J2038" i="2"/>
  <c r="E2039" i="2"/>
  <c r="F2039" i="2"/>
  <c r="I2039" i="2"/>
  <c r="J2039" i="2"/>
  <c r="E2040" i="2"/>
  <c r="I2040" i="2"/>
  <c r="E2041" i="2"/>
  <c r="I2041" i="2"/>
  <c r="E2042" i="2"/>
  <c r="I2042" i="2"/>
  <c r="E2043" i="2"/>
  <c r="I2043" i="2"/>
  <c r="E2044" i="2"/>
  <c r="F2044" i="2"/>
  <c r="I2044" i="2"/>
  <c r="E2045" i="2"/>
  <c r="I2045" i="2"/>
  <c r="E2046" i="2"/>
  <c r="F2046" i="2"/>
  <c r="I2046" i="2"/>
  <c r="E2047" i="2"/>
  <c r="I2047" i="2"/>
  <c r="E2048" i="2"/>
  <c r="F2048" i="2"/>
  <c r="I2048" i="2"/>
  <c r="E2049" i="2"/>
  <c r="I2049" i="2"/>
  <c r="J2049" i="2"/>
  <c r="E2050" i="2"/>
  <c r="F2050" i="2"/>
  <c r="I2050" i="2"/>
  <c r="J2050" i="2"/>
  <c r="E2051" i="2"/>
  <c r="F2051" i="2"/>
  <c r="I2051" i="2"/>
  <c r="J2051" i="2"/>
  <c r="E2052" i="2"/>
  <c r="F2052" i="2"/>
  <c r="I2052" i="2"/>
  <c r="J2052" i="2"/>
  <c r="E2053" i="2"/>
  <c r="F2053" i="2"/>
  <c r="I2053" i="2"/>
  <c r="E2054" i="2"/>
  <c r="F2054" i="2"/>
  <c r="I2054" i="2"/>
  <c r="E2055" i="2"/>
  <c r="I2055" i="2"/>
  <c r="J2055" i="2"/>
  <c r="E2056" i="2"/>
  <c r="F2056" i="2"/>
  <c r="I2056" i="2"/>
  <c r="J2056" i="2"/>
  <c r="E2057" i="2"/>
  <c r="F2057" i="2"/>
  <c r="I2057" i="2"/>
  <c r="J2057" i="2"/>
  <c r="E2058" i="2"/>
  <c r="I2058" i="2"/>
  <c r="J2058" i="2"/>
  <c r="E2059" i="2"/>
  <c r="F2059" i="2"/>
  <c r="I2059" i="2"/>
  <c r="J2059" i="2"/>
  <c r="E2060" i="2"/>
  <c r="F2060" i="2"/>
  <c r="I2060" i="2"/>
  <c r="E2061" i="2"/>
  <c r="F2061" i="2"/>
  <c r="I2061" i="2"/>
  <c r="E2062" i="2"/>
  <c r="F2062" i="2"/>
  <c r="I2062" i="2"/>
  <c r="E2063" i="2"/>
  <c r="I2063" i="2"/>
  <c r="J2063" i="2"/>
  <c r="E2064" i="2"/>
  <c r="F2064" i="2"/>
  <c r="I2064" i="2"/>
  <c r="J2064" i="2"/>
  <c r="E2065" i="2"/>
  <c r="I2065" i="2"/>
  <c r="J2065" i="2"/>
  <c r="E2066" i="2"/>
  <c r="F2066" i="2"/>
  <c r="I2066" i="2"/>
  <c r="J2066" i="2"/>
  <c r="E2067" i="2"/>
  <c r="F2067" i="2"/>
  <c r="I2067" i="2"/>
  <c r="J2067" i="2"/>
  <c r="E2068" i="2"/>
  <c r="I2068" i="2"/>
  <c r="J2068" i="2"/>
  <c r="E2069" i="2"/>
  <c r="I2069" i="2"/>
  <c r="E2070" i="2"/>
  <c r="I2070" i="2"/>
  <c r="E2071" i="2"/>
  <c r="I2071" i="2"/>
  <c r="E2072" i="2"/>
  <c r="F2072" i="2"/>
  <c r="I2072" i="2"/>
  <c r="E2073" i="2"/>
  <c r="F2073" i="2"/>
  <c r="I2073" i="2"/>
  <c r="J2073" i="2"/>
  <c r="E2074" i="2"/>
  <c r="F2074" i="2"/>
  <c r="I2074" i="2"/>
  <c r="J2074" i="2"/>
  <c r="E2075" i="2"/>
  <c r="I2075" i="2"/>
  <c r="J2075" i="2"/>
  <c r="E2076" i="2"/>
  <c r="F2076" i="2"/>
  <c r="I2076" i="2"/>
  <c r="E2077" i="2"/>
  <c r="I2077" i="2"/>
  <c r="J2077" i="2"/>
  <c r="E2078" i="2"/>
  <c r="I2078" i="2"/>
  <c r="J2078" i="2"/>
  <c r="E2079" i="2"/>
  <c r="I2079" i="2"/>
  <c r="J2079" i="2"/>
  <c r="E2080" i="2"/>
  <c r="I2080" i="2"/>
  <c r="J2080" i="2"/>
  <c r="E2081" i="2"/>
  <c r="I2081" i="2"/>
  <c r="J2081" i="2"/>
  <c r="E2082" i="2"/>
  <c r="I2082" i="2"/>
  <c r="J2082" i="2"/>
  <c r="E2083" i="2"/>
  <c r="I2083" i="2"/>
  <c r="J2083" i="2"/>
  <c r="E2084" i="2"/>
  <c r="I2084" i="2"/>
  <c r="J2084" i="2"/>
  <c r="E2085" i="2"/>
  <c r="I2085" i="2"/>
  <c r="J2085" i="2"/>
  <c r="E2086" i="2"/>
  <c r="I2086" i="2"/>
  <c r="J2086" i="2"/>
  <c r="E2087" i="2"/>
  <c r="F2087" i="2"/>
  <c r="I2087" i="2"/>
  <c r="E2088" i="2"/>
  <c r="F2088" i="2"/>
  <c r="I2088" i="2"/>
  <c r="E2089" i="2"/>
  <c r="I2089" i="2"/>
  <c r="J2089" i="2"/>
  <c r="E2090" i="2"/>
  <c r="I2090" i="2"/>
  <c r="E2091" i="2"/>
  <c r="F2091" i="2"/>
  <c r="I2091" i="2"/>
  <c r="E2092" i="2"/>
  <c r="I2092" i="2"/>
  <c r="E2093" i="2"/>
  <c r="F2093" i="2"/>
  <c r="I2093" i="2"/>
  <c r="E2094" i="2"/>
  <c r="F2094" i="2"/>
  <c r="I2094" i="2"/>
  <c r="E2095" i="2"/>
  <c r="I2095" i="2"/>
  <c r="J2095" i="2"/>
  <c r="E2096" i="2"/>
  <c r="I2096" i="2"/>
  <c r="E2097" i="2"/>
  <c r="F2097" i="2"/>
  <c r="I2097" i="2"/>
  <c r="E2098" i="2"/>
  <c r="F2098" i="2"/>
  <c r="I2098" i="2"/>
  <c r="E2099" i="2"/>
  <c r="F2099" i="2"/>
  <c r="I2099" i="2"/>
  <c r="J2099" i="2"/>
  <c r="E2100" i="2"/>
  <c r="F2100" i="2"/>
  <c r="I2100" i="2"/>
  <c r="J2100" i="2"/>
  <c r="E2101" i="2"/>
  <c r="I2101" i="2"/>
  <c r="J2101" i="2"/>
  <c r="E2102" i="2"/>
  <c r="F2102" i="2"/>
  <c r="I2102" i="2"/>
  <c r="E2103" i="2"/>
  <c r="F2103" i="2"/>
  <c r="I2103" i="2"/>
  <c r="E2104" i="2"/>
  <c r="F2104" i="2"/>
  <c r="I2104" i="2"/>
  <c r="E2105" i="2"/>
  <c r="I2105" i="2"/>
  <c r="J2105" i="2"/>
  <c r="E2106" i="2"/>
  <c r="F2106" i="2"/>
  <c r="I2106" i="2"/>
  <c r="J2106" i="2"/>
  <c r="E2107" i="2"/>
  <c r="F2107" i="2"/>
  <c r="I2107" i="2"/>
  <c r="E2108" i="2"/>
  <c r="I2108" i="2"/>
  <c r="J2108" i="2"/>
  <c r="E2109" i="2"/>
  <c r="F2109" i="2"/>
  <c r="I2109" i="2"/>
  <c r="J2109" i="2"/>
  <c r="E2110" i="2"/>
  <c r="F2110" i="2"/>
  <c r="I2110" i="2"/>
  <c r="J2110" i="2"/>
  <c r="E2111" i="2"/>
  <c r="I2111" i="2"/>
  <c r="J2111" i="2"/>
  <c r="E2112" i="2"/>
  <c r="I2112" i="2"/>
  <c r="J2112" i="2"/>
  <c r="E2113" i="2"/>
  <c r="I2113" i="2"/>
  <c r="J2113" i="2"/>
  <c r="E2114" i="2"/>
  <c r="I2114" i="2"/>
  <c r="J2114" i="2"/>
  <c r="E2115" i="2"/>
  <c r="F2115" i="2"/>
  <c r="I2115" i="2"/>
  <c r="J2115" i="2"/>
  <c r="E2116" i="2"/>
  <c r="F2116" i="2"/>
  <c r="I2116" i="2"/>
  <c r="J2116" i="2"/>
  <c r="E2117" i="2"/>
  <c r="F2117" i="2"/>
  <c r="I2117" i="2"/>
  <c r="J2117" i="2"/>
  <c r="E2118" i="2"/>
  <c r="I2118" i="2"/>
  <c r="J2118" i="2"/>
  <c r="E2119" i="2"/>
  <c r="I2119" i="2"/>
  <c r="J2119" i="2"/>
  <c r="E2120" i="2"/>
  <c r="F2120" i="2"/>
  <c r="I2120" i="2"/>
  <c r="E2121" i="2"/>
  <c r="F2121" i="2"/>
  <c r="I2121" i="2"/>
  <c r="J2121" i="2"/>
  <c r="E2122" i="2"/>
  <c r="F2122" i="2"/>
  <c r="I2122" i="2"/>
  <c r="E2123" i="2"/>
  <c r="F2123" i="2"/>
  <c r="I2123" i="2"/>
  <c r="E2124" i="2"/>
  <c r="F2124" i="2"/>
  <c r="I2124" i="2"/>
  <c r="E2125" i="2"/>
  <c r="F2125" i="2"/>
  <c r="I2125" i="2"/>
  <c r="E2126" i="2"/>
  <c r="F2126" i="2"/>
  <c r="I2126" i="2"/>
  <c r="E2127" i="2"/>
  <c r="I2127" i="2"/>
  <c r="J2127" i="2"/>
  <c r="E2128" i="2"/>
  <c r="I2128" i="2"/>
  <c r="J2128" i="2"/>
  <c r="E2129" i="2"/>
  <c r="I2129" i="2"/>
  <c r="J2129" i="2"/>
  <c r="E2130" i="2"/>
  <c r="I2130" i="2"/>
  <c r="J2130" i="2"/>
  <c r="E2131" i="2"/>
  <c r="F2131" i="2"/>
  <c r="I2131" i="2"/>
  <c r="J2131" i="2"/>
  <c r="E2132" i="2"/>
  <c r="F2132" i="2"/>
  <c r="I2132" i="2"/>
  <c r="E2133" i="2"/>
  <c r="I2133" i="2"/>
  <c r="J2133" i="2"/>
  <c r="E2134" i="2"/>
  <c r="F2134" i="2"/>
  <c r="I2134" i="2"/>
  <c r="J2134" i="2"/>
  <c r="E2135" i="2"/>
  <c r="F2135" i="2"/>
  <c r="I2135" i="2"/>
  <c r="J2135" i="2"/>
  <c r="E2136" i="2"/>
  <c r="I2136" i="2"/>
  <c r="J2136" i="2"/>
  <c r="E2137" i="2"/>
  <c r="I2137" i="2"/>
  <c r="J2137" i="2"/>
  <c r="E2138" i="2"/>
  <c r="I2138" i="2"/>
  <c r="J2138" i="2"/>
  <c r="E2139" i="2"/>
  <c r="I2139" i="2"/>
  <c r="E2140" i="2"/>
  <c r="I2140" i="2"/>
  <c r="J2140" i="2"/>
  <c r="E2141" i="2"/>
  <c r="I2141" i="2"/>
  <c r="J2141" i="2"/>
  <c r="E2142" i="2"/>
  <c r="I2142" i="2"/>
  <c r="E2143" i="2"/>
  <c r="F2143" i="2"/>
  <c r="I2143" i="2"/>
  <c r="E2144" i="2"/>
  <c r="I2144" i="2"/>
  <c r="J2144" i="2"/>
  <c r="E2145" i="2"/>
  <c r="I2145" i="2"/>
  <c r="J2145" i="2"/>
  <c r="E2146" i="2"/>
  <c r="I2146" i="2"/>
  <c r="E2147" i="2"/>
  <c r="I2147" i="2"/>
  <c r="J2147" i="2"/>
  <c r="E2148" i="2"/>
  <c r="F2148" i="2"/>
  <c r="I2148" i="2"/>
  <c r="J2148" i="2"/>
  <c r="E2149" i="2"/>
  <c r="I2149" i="2"/>
  <c r="J2149" i="2"/>
  <c r="E2150" i="2"/>
  <c r="I2150" i="2"/>
  <c r="J2150" i="2"/>
  <c r="E2151" i="2"/>
  <c r="F2151" i="2"/>
  <c r="I2151" i="2"/>
  <c r="E2152" i="2"/>
  <c r="F2152" i="2"/>
  <c r="I2152" i="2"/>
  <c r="E2153" i="2"/>
  <c r="I2153" i="2"/>
  <c r="E2154" i="2"/>
  <c r="I2154" i="2"/>
  <c r="E2155" i="2"/>
  <c r="F2155" i="2"/>
  <c r="I2155" i="2"/>
  <c r="E2156" i="2"/>
  <c r="I2156" i="2"/>
  <c r="E2157" i="2"/>
  <c r="I2157" i="2"/>
  <c r="E2158" i="2"/>
  <c r="I2158" i="2"/>
  <c r="E2159" i="2"/>
  <c r="F2159" i="2"/>
  <c r="I2159" i="2"/>
  <c r="E2160" i="2"/>
  <c r="F2160" i="2"/>
  <c r="I2160" i="2"/>
  <c r="J2160" i="2"/>
  <c r="E2161" i="2"/>
  <c r="I2161" i="2"/>
  <c r="J2161" i="2"/>
  <c r="E2162" i="2"/>
  <c r="F2162" i="2"/>
  <c r="I2162" i="2"/>
  <c r="J2162" i="2"/>
  <c r="E2163" i="2"/>
  <c r="F2163" i="2"/>
  <c r="I2163" i="2"/>
  <c r="J2163" i="2"/>
  <c r="E2164" i="2"/>
  <c r="I2164" i="2"/>
  <c r="E2165" i="2"/>
  <c r="F2165" i="2"/>
  <c r="I2165" i="2"/>
  <c r="E2166" i="2"/>
  <c r="F2166" i="2"/>
  <c r="I2166" i="2"/>
  <c r="J2166" i="2"/>
  <c r="E2167" i="2"/>
  <c r="I2167" i="2"/>
  <c r="J2167" i="2"/>
  <c r="E2168" i="2"/>
  <c r="I2168" i="2"/>
  <c r="J2168" i="2"/>
  <c r="E2169" i="2"/>
  <c r="I2169" i="2"/>
  <c r="J2169" i="2"/>
  <c r="E2170" i="2"/>
  <c r="F2170" i="2"/>
  <c r="I2170" i="2"/>
  <c r="E2171" i="2"/>
  <c r="F2171" i="2"/>
  <c r="I2171" i="2"/>
  <c r="E2172" i="2"/>
  <c r="I2172" i="2"/>
  <c r="J2172" i="2"/>
  <c r="E2173" i="2"/>
  <c r="I2173" i="2"/>
  <c r="J2173" i="2"/>
  <c r="E2174" i="2"/>
  <c r="I2174" i="2"/>
  <c r="J2174" i="2"/>
  <c r="E2175" i="2"/>
  <c r="F2175" i="2"/>
  <c r="I2175" i="2"/>
  <c r="E2176" i="2"/>
  <c r="F2176" i="2"/>
  <c r="I2176" i="2"/>
  <c r="E2177" i="2"/>
  <c r="I2177" i="2"/>
  <c r="J2177" i="2"/>
  <c r="E2178" i="2"/>
  <c r="I2178" i="2"/>
  <c r="J2178" i="2"/>
  <c r="E2179" i="2"/>
  <c r="I2179" i="2"/>
  <c r="J2179" i="2"/>
  <c r="E2180" i="2"/>
  <c r="I2180" i="2"/>
  <c r="E2181" i="2"/>
  <c r="I2181" i="2"/>
  <c r="J2181" i="2"/>
  <c r="E2182" i="2"/>
  <c r="I2182" i="2"/>
  <c r="J2182" i="2"/>
  <c r="E2183" i="2"/>
  <c r="I2183" i="2"/>
  <c r="J2183" i="2"/>
  <c r="E2184" i="2"/>
  <c r="F2184" i="2"/>
  <c r="I2184" i="2"/>
  <c r="J2184" i="2"/>
  <c r="E2185" i="2"/>
  <c r="F2185" i="2"/>
  <c r="I2185" i="2"/>
  <c r="E2186" i="2"/>
  <c r="I2186" i="2"/>
  <c r="J2186" i="2"/>
  <c r="E2187" i="2"/>
  <c r="I2187" i="2"/>
  <c r="J2187" i="2"/>
  <c r="E2188" i="2"/>
  <c r="F2188" i="2"/>
  <c r="I2188" i="2"/>
  <c r="E2189" i="2"/>
  <c r="F2189" i="2"/>
  <c r="I2189" i="2"/>
  <c r="J2189" i="2"/>
  <c r="E2190" i="2"/>
  <c r="F2190" i="2"/>
  <c r="I2190" i="2"/>
  <c r="J2190" i="2"/>
  <c r="E2191" i="2"/>
  <c r="F2191" i="2"/>
  <c r="I2191" i="2"/>
  <c r="E2192" i="2"/>
  <c r="F2192" i="2"/>
  <c r="I2192" i="2"/>
  <c r="J2192" i="2"/>
  <c r="E2193" i="2"/>
  <c r="F2193" i="2"/>
  <c r="I2193" i="2"/>
  <c r="J2193" i="2"/>
  <c r="E2194" i="2"/>
  <c r="F2194" i="2"/>
  <c r="I2194" i="2"/>
  <c r="E2195" i="2"/>
  <c r="F2195" i="2"/>
  <c r="I2195" i="2"/>
  <c r="J2195" i="2"/>
  <c r="E2196" i="2"/>
  <c r="F2196" i="2"/>
  <c r="I2196" i="2"/>
  <c r="E2197" i="2"/>
  <c r="F2197" i="2"/>
  <c r="I2197" i="2"/>
  <c r="E2198" i="2"/>
  <c r="F2198" i="2"/>
  <c r="I2198" i="2"/>
  <c r="J2198" i="2"/>
  <c r="E2199" i="2"/>
  <c r="F2199" i="2"/>
  <c r="I2199" i="2"/>
  <c r="E2200" i="2"/>
  <c r="I2200" i="2"/>
  <c r="J2200" i="2"/>
  <c r="E2201" i="2"/>
  <c r="F2201" i="2"/>
  <c r="I2201" i="2"/>
  <c r="E2202" i="2"/>
  <c r="F2202" i="2"/>
  <c r="I2202" i="2"/>
  <c r="E2203" i="2"/>
  <c r="F2203" i="2"/>
  <c r="I2203" i="2"/>
  <c r="E2204" i="2"/>
  <c r="F2204" i="2"/>
  <c r="I2204" i="2"/>
  <c r="E2205" i="2"/>
  <c r="F2205" i="2"/>
  <c r="I2205" i="2"/>
  <c r="J2205" i="2"/>
  <c r="E2206" i="2"/>
  <c r="I2206" i="2"/>
  <c r="J2206" i="2"/>
  <c r="E2207" i="2"/>
  <c r="F2207" i="2"/>
  <c r="I2207" i="2"/>
  <c r="J2207" i="2"/>
  <c r="E2208" i="2"/>
  <c r="F2208" i="2"/>
  <c r="I2208" i="2"/>
  <c r="E2209" i="2"/>
  <c r="I2209" i="2"/>
  <c r="J2209" i="2"/>
  <c r="E2210" i="2"/>
  <c r="F2210" i="2"/>
  <c r="I2210" i="2"/>
  <c r="J2210" i="2"/>
  <c r="E2211" i="2"/>
  <c r="I2211" i="2"/>
  <c r="J2211" i="2"/>
  <c r="E2212" i="2"/>
  <c r="I2212" i="2"/>
  <c r="J2212" i="2"/>
  <c r="E2213" i="2"/>
  <c r="I2213" i="2"/>
  <c r="J2213" i="2"/>
  <c r="E2214" i="2"/>
  <c r="I2214" i="2"/>
  <c r="J2214" i="2"/>
  <c r="E2215" i="2"/>
  <c r="I2215" i="2"/>
  <c r="J2215" i="2"/>
  <c r="E2216" i="2"/>
  <c r="I2216" i="2"/>
  <c r="E2217" i="2"/>
  <c r="I2217" i="2"/>
  <c r="J2217" i="2"/>
  <c r="E2218" i="2"/>
  <c r="F2218" i="2"/>
  <c r="I2218" i="2"/>
  <c r="J2218" i="2"/>
  <c r="E2219" i="2"/>
  <c r="F2219" i="2"/>
  <c r="I2219" i="2"/>
  <c r="J2219" i="2"/>
  <c r="E2220" i="2"/>
  <c r="I2220" i="2"/>
  <c r="E2221" i="2"/>
  <c r="F2221" i="2"/>
  <c r="I2221" i="2"/>
  <c r="J2221" i="2"/>
  <c r="E2222" i="2"/>
  <c r="F2222" i="2"/>
  <c r="I2222" i="2"/>
  <c r="J2222" i="2"/>
  <c r="E2223" i="2"/>
  <c r="F2223" i="2"/>
  <c r="I2223" i="2"/>
  <c r="J2223" i="2"/>
  <c r="E2224" i="2"/>
  <c r="F2224" i="2"/>
  <c r="I2224" i="2"/>
  <c r="J2224" i="2"/>
  <c r="E2225" i="2"/>
  <c r="F2225" i="2"/>
  <c r="I2225" i="2"/>
  <c r="J2225" i="2"/>
  <c r="E2226" i="2"/>
  <c r="I2226" i="2"/>
  <c r="J2226" i="2"/>
  <c r="E2227" i="2"/>
  <c r="F2227" i="2"/>
  <c r="I2227" i="2"/>
  <c r="J2227" i="2"/>
  <c r="E2228" i="2"/>
  <c r="F2228" i="2"/>
  <c r="I2228" i="2"/>
  <c r="E2229" i="2"/>
  <c r="F2229" i="2"/>
  <c r="I2229" i="2"/>
  <c r="J2229" i="2"/>
  <c r="E2230" i="2"/>
  <c r="F2230" i="2"/>
  <c r="I2230" i="2"/>
  <c r="J2230" i="2"/>
  <c r="E2231" i="2"/>
  <c r="I2231" i="2"/>
  <c r="E2232" i="2"/>
  <c r="F2232" i="2"/>
  <c r="I2232" i="2"/>
  <c r="E2233" i="2"/>
  <c r="F2233" i="2"/>
  <c r="I2233" i="2"/>
  <c r="J2233" i="2"/>
  <c r="E2234" i="2"/>
  <c r="F2234" i="2"/>
  <c r="I2234" i="2"/>
  <c r="J2234" i="2"/>
  <c r="E2235" i="2"/>
  <c r="F2235" i="2"/>
  <c r="I2235" i="2"/>
  <c r="J2235" i="2"/>
  <c r="E2236" i="2"/>
  <c r="F2236" i="2"/>
  <c r="I2236" i="2"/>
  <c r="E2237" i="2"/>
  <c r="I2237" i="2"/>
  <c r="J2237" i="2"/>
  <c r="E2238" i="2"/>
  <c r="F2238" i="2"/>
  <c r="I2238" i="2"/>
  <c r="E2239" i="2"/>
  <c r="F2239" i="2"/>
  <c r="I2239" i="2"/>
  <c r="J2239" i="2"/>
  <c r="E2240" i="2"/>
  <c r="I2240" i="2"/>
  <c r="J2240" i="2"/>
  <c r="E2241" i="2"/>
  <c r="F2241" i="2"/>
  <c r="I2241" i="2"/>
  <c r="J2241" i="2"/>
  <c r="E2242" i="2"/>
  <c r="F2242" i="2"/>
  <c r="I2242" i="2"/>
  <c r="J2242" i="2"/>
  <c r="E2243" i="2"/>
  <c r="I2243" i="2"/>
  <c r="J2243" i="2"/>
  <c r="E2244" i="2"/>
  <c r="I2244" i="2"/>
  <c r="J2244" i="2"/>
  <c r="E2245" i="2"/>
  <c r="F2245" i="2"/>
  <c r="I2245" i="2"/>
  <c r="E2246" i="2"/>
  <c r="F2246" i="2"/>
  <c r="I2246" i="2"/>
  <c r="J2246" i="2"/>
  <c r="E2247" i="2"/>
  <c r="F2247" i="2"/>
  <c r="I2247" i="2"/>
  <c r="J2247" i="2"/>
  <c r="E2248" i="2"/>
  <c r="F2248" i="2"/>
  <c r="I2248" i="2"/>
  <c r="J2248" i="2"/>
  <c r="E2249" i="2"/>
  <c r="F2249" i="2"/>
  <c r="I2249" i="2"/>
  <c r="J2249" i="2"/>
  <c r="E2250" i="2"/>
  <c r="F2250" i="2"/>
  <c r="I2250" i="2"/>
  <c r="J2250" i="2"/>
  <c r="E2251" i="2"/>
  <c r="F2251" i="2"/>
  <c r="I2251" i="2"/>
  <c r="J2251" i="2"/>
  <c r="E2252" i="2"/>
  <c r="F2252" i="2"/>
  <c r="I2252" i="2"/>
  <c r="E2253" i="2"/>
  <c r="I2253" i="2"/>
  <c r="J2253" i="2"/>
  <c r="E2254" i="2"/>
  <c r="I2254" i="2"/>
  <c r="E2255" i="2"/>
  <c r="I2255" i="2"/>
  <c r="J2255" i="2"/>
  <c r="E2256" i="2"/>
  <c r="I2256" i="2"/>
  <c r="J2256" i="2"/>
  <c r="E2257" i="2"/>
  <c r="I2257" i="2"/>
  <c r="J2257" i="2"/>
  <c r="E2258" i="2"/>
  <c r="F2258" i="2"/>
  <c r="I2258" i="2"/>
  <c r="J2258" i="2"/>
  <c r="E2259" i="2"/>
  <c r="F2259" i="2"/>
  <c r="I2259" i="2"/>
  <c r="J2259" i="2"/>
  <c r="E2260" i="2"/>
  <c r="I2260" i="2"/>
  <c r="J2260" i="2"/>
  <c r="E2261" i="2"/>
  <c r="I2261" i="2"/>
  <c r="E2262" i="2"/>
  <c r="F2262" i="2"/>
  <c r="I2262" i="2"/>
  <c r="E2263" i="2"/>
  <c r="F2263" i="2"/>
  <c r="I2263" i="2"/>
  <c r="E2264" i="2"/>
  <c r="F2264" i="2"/>
  <c r="I2264" i="2"/>
  <c r="E2265" i="2"/>
  <c r="I2265" i="2"/>
  <c r="E2266" i="2"/>
  <c r="I2266" i="2"/>
  <c r="E2267" i="2"/>
  <c r="F2267" i="2"/>
  <c r="I2267" i="2"/>
  <c r="E2268" i="2"/>
  <c r="F2268" i="2"/>
  <c r="I2268" i="2"/>
  <c r="J2268" i="2"/>
  <c r="E2269" i="2"/>
  <c r="F2269" i="2"/>
  <c r="I2269" i="2"/>
  <c r="J2269" i="2"/>
  <c r="E2270" i="2"/>
  <c r="F2270" i="2"/>
  <c r="I2270" i="2"/>
  <c r="J2270" i="2"/>
  <c r="E2271" i="2"/>
  <c r="F2271" i="2"/>
  <c r="I2271" i="2"/>
  <c r="J2271" i="2"/>
  <c r="E2272" i="2"/>
  <c r="F2272" i="2"/>
  <c r="I2272" i="2"/>
  <c r="E2273" i="2"/>
  <c r="F2273" i="2"/>
  <c r="I2273" i="2"/>
  <c r="E2274" i="2"/>
  <c r="F2274" i="2"/>
  <c r="I2274" i="2"/>
  <c r="J2274" i="2"/>
  <c r="E2275" i="2"/>
  <c r="F2275" i="2"/>
  <c r="I2275" i="2"/>
  <c r="E2276" i="2"/>
  <c r="I2276" i="2"/>
  <c r="J2276" i="2"/>
  <c r="E2277" i="2"/>
  <c r="I2277" i="2"/>
  <c r="E2278" i="2"/>
  <c r="I2278" i="2"/>
  <c r="E2279" i="2"/>
  <c r="F2279" i="2"/>
  <c r="I2279" i="2"/>
  <c r="E2280" i="2"/>
  <c r="I2280" i="2"/>
  <c r="E2281" i="2"/>
  <c r="I2281" i="2"/>
  <c r="E2282" i="2"/>
  <c r="I2282" i="2"/>
  <c r="E2283" i="2"/>
  <c r="I2283" i="2"/>
  <c r="E2284" i="2"/>
  <c r="I2284" i="2"/>
  <c r="E2285" i="2"/>
  <c r="I2285" i="2"/>
  <c r="E2286" i="2"/>
  <c r="I2286" i="2"/>
  <c r="E2287" i="2"/>
  <c r="I2287" i="2"/>
  <c r="E2288" i="2"/>
  <c r="F2288" i="2"/>
  <c r="I2288" i="2"/>
  <c r="E2289" i="2"/>
  <c r="F2289" i="2"/>
  <c r="I2289" i="2"/>
  <c r="E2290" i="2"/>
  <c r="F2290" i="2"/>
  <c r="I2290" i="2"/>
  <c r="E2291" i="2"/>
  <c r="I2291" i="2"/>
  <c r="J2291" i="2"/>
  <c r="E2292" i="2"/>
  <c r="F2292" i="2"/>
  <c r="I2292" i="2"/>
  <c r="E2293" i="2"/>
  <c r="I2293" i="2"/>
  <c r="J2293" i="2"/>
  <c r="E2294" i="2"/>
  <c r="F2294" i="2"/>
  <c r="I2294" i="2"/>
  <c r="E2295" i="2"/>
  <c r="F2295" i="2"/>
  <c r="I2295" i="2"/>
  <c r="J2295" i="2"/>
  <c r="E2296" i="2"/>
  <c r="F2296" i="2"/>
  <c r="I2296" i="2"/>
  <c r="E2297" i="2"/>
  <c r="F2297" i="2"/>
  <c r="I2297" i="2"/>
  <c r="E2298" i="2"/>
  <c r="F2298" i="2"/>
  <c r="I2298" i="2"/>
  <c r="E2299" i="2"/>
  <c r="F2299" i="2"/>
  <c r="I2299" i="2"/>
  <c r="E2300" i="2"/>
  <c r="I2300" i="2"/>
  <c r="J2300" i="2"/>
  <c r="E2301" i="2"/>
  <c r="I2301" i="2"/>
  <c r="J2301" i="2"/>
  <c r="E2302" i="2"/>
  <c r="F2302" i="2"/>
  <c r="I2302" i="2"/>
  <c r="E2303" i="2"/>
  <c r="F2303" i="2"/>
  <c r="I2303" i="2"/>
  <c r="E2304" i="2"/>
  <c r="I2304" i="2"/>
  <c r="E2305" i="2"/>
  <c r="F2305" i="2"/>
  <c r="I2305" i="2"/>
  <c r="E2306" i="2"/>
  <c r="F2306" i="2"/>
  <c r="I2306" i="2"/>
  <c r="E2307" i="2"/>
  <c r="I2307" i="2"/>
  <c r="J2307" i="2"/>
  <c r="E2308" i="2"/>
  <c r="I2308" i="2"/>
  <c r="J2308" i="2"/>
  <c r="E2309" i="2"/>
  <c r="F2309" i="2"/>
  <c r="I2309" i="2"/>
  <c r="E2310" i="2"/>
  <c r="F2310" i="2"/>
  <c r="I2310" i="2"/>
  <c r="E2311" i="2"/>
  <c r="I2311" i="2"/>
  <c r="J2311" i="2"/>
  <c r="E2312" i="2"/>
  <c r="I2312" i="2"/>
  <c r="J2312" i="2"/>
  <c r="E2313" i="2"/>
  <c r="F2313" i="2"/>
  <c r="I2313" i="2"/>
  <c r="J2313" i="2"/>
  <c r="E2314" i="2"/>
  <c r="F2314" i="2"/>
  <c r="I2314" i="2"/>
  <c r="J2314" i="2"/>
  <c r="E2315" i="2"/>
  <c r="I2315" i="2"/>
  <c r="J2315" i="2"/>
  <c r="E2316" i="2"/>
  <c r="I2316" i="2"/>
  <c r="J2316" i="2"/>
  <c r="E2317" i="2"/>
  <c r="F2317" i="2"/>
  <c r="I2317" i="2"/>
  <c r="J2317" i="2"/>
  <c r="E2318" i="2"/>
  <c r="F2318" i="2"/>
  <c r="I2318" i="2"/>
  <c r="J2318" i="2"/>
  <c r="E2319" i="2"/>
  <c r="F2319" i="2"/>
  <c r="I2319" i="2"/>
  <c r="J2319" i="2"/>
  <c r="E2320" i="2"/>
  <c r="F2320" i="2"/>
  <c r="I2320" i="2"/>
  <c r="E2321" i="2"/>
  <c r="F2321" i="2"/>
  <c r="I2321" i="2"/>
  <c r="J2321" i="2"/>
  <c r="E2322" i="2"/>
  <c r="F2322" i="2"/>
  <c r="I2322" i="2"/>
  <c r="J2322" i="2"/>
  <c r="E2323" i="2"/>
  <c r="F2323" i="2"/>
  <c r="I2323" i="2"/>
  <c r="J2323" i="2"/>
  <c r="E2324" i="2"/>
  <c r="F2324" i="2"/>
  <c r="I2324" i="2"/>
  <c r="J2324" i="2"/>
  <c r="E2325" i="2"/>
  <c r="F2325" i="2"/>
  <c r="I2325" i="2"/>
  <c r="J2325" i="2"/>
  <c r="E2326" i="2"/>
  <c r="F2326" i="2"/>
  <c r="I2326" i="2"/>
  <c r="J2326" i="2"/>
  <c r="E2327" i="2"/>
  <c r="F2327" i="2"/>
  <c r="I2327" i="2"/>
  <c r="J2327" i="2"/>
  <c r="E2328" i="2"/>
  <c r="F2328" i="2"/>
  <c r="I2328" i="2"/>
  <c r="J2328" i="2"/>
  <c r="E2329" i="2"/>
  <c r="F2329" i="2"/>
  <c r="I2329" i="2"/>
  <c r="J2329" i="2"/>
  <c r="E2330" i="2"/>
  <c r="F2330" i="2"/>
  <c r="I2330" i="2"/>
  <c r="J2330" i="2"/>
  <c r="E2331" i="2"/>
  <c r="F2331" i="2"/>
  <c r="I2331" i="2"/>
  <c r="J2331" i="2"/>
  <c r="E2332" i="2"/>
  <c r="F2332" i="2"/>
  <c r="I2332" i="2"/>
  <c r="E2333" i="2"/>
  <c r="F2333" i="2"/>
  <c r="I2333" i="2"/>
  <c r="E2334" i="2"/>
  <c r="F2334" i="2"/>
  <c r="I2334" i="2"/>
  <c r="E2335" i="2"/>
  <c r="I2335" i="2"/>
  <c r="J2335" i="2"/>
  <c r="E2336" i="2"/>
  <c r="F2336" i="2"/>
  <c r="I2336" i="2"/>
  <c r="J2336" i="2"/>
  <c r="E2337" i="2"/>
  <c r="F2337" i="2"/>
  <c r="I2337" i="2"/>
  <c r="E2338" i="2"/>
  <c r="I2338" i="2"/>
  <c r="J2338" i="2"/>
  <c r="E2339" i="2"/>
  <c r="F2339" i="2"/>
  <c r="I2339" i="2"/>
  <c r="E2340" i="2"/>
  <c r="I2340" i="2"/>
  <c r="J2340" i="2"/>
  <c r="E2341" i="2"/>
  <c r="I2341" i="2"/>
  <c r="J2341" i="2"/>
  <c r="E2342" i="2"/>
  <c r="F2342" i="2"/>
  <c r="I2342" i="2"/>
  <c r="E2343" i="2"/>
  <c r="F2343" i="2"/>
  <c r="I2343" i="2"/>
  <c r="J2343" i="2"/>
  <c r="E2344" i="2"/>
  <c r="F2344" i="2"/>
  <c r="I2344" i="2"/>
  <c r="E2345" i="2"/>
  <c r="I2345" i="2"/>
  <c r="E2346" i="2"/>
  <c r="F2346" i="2"/>
  <c r="I2346" i="2"/>
  <c r="E2347" i="2"/>
  <c r="F2347" i="2"/>
  <c r="I2347" i="2"/>
  <c r="E2348" i="2"/>
  <c r="F2348" i="2"/>
  <c r="I2348" i="2"/>
  <c r="E2349" i="2"/>
  <c r="F2349" i="2"/>
  <c r="I2349" i="2"/>
  <c r="E2350" i="2"/>
  <c r="F2350" i="2"/>
  <c r="I2350" i="2"/>
  <c r="E2351" i="2"/>
  <c r="F2351" i="2"/>
  <c r="I2351" i="2"/>
  <c r="E2352" i="2"/>
  <c r="F2352" i="2"/>
  <c r="I2352" i="2"/>
  <c r="E2353" i="2"/>
  <c r="F2353" i="2"/>
  <c r="I2353" i="2"/>
  <c r="E2354" i="2"/>
  <c r="F2354" i="2"/>
  <c r="I2354" i="2"/>
  <c r="E2355" i="2"/>
  <c r="F2355" i="2"/>
  <c r="I2355" i="2"/>
  <c r="E2356" i="2"/>
  <c r="F2356" i="2"/>
  <c r="I2356" i="2"/>
  <c r="E2357" i="2"/>
  <c r="F2357" i="2"/>
  <c r="I2357" i="2"/>
  <c r="E2358" i="2"/>
  <c r="F2358" i="2"/>
  <c r="I2358" i="2"/>
  <c r="E2359" i="2"/>
  <c r="F2359" i="2"/>
  <c r="I2359" i="2"/>
  <c r="E2360" i="2"/>
  <c r="I2360" i="2"/>
  <c r="J2360" i="2"/>
  <c r="E2361" i="2"/>
  <c r="I2361" i="2"/>
  <c r="J2361" i="2"/>
  <c r="E2362" i="2"/>
  <c r="F2362" i="2"/>
  <c r="I2362" i="2"/>
  <c r="J2362" i="2"/>
  <c r="E2363" i="2"/>
  <c r="F2363" i="2"/>
  <c r="I2363" i="2"/>
  <c r="J2363" i="2"/>
  <c r="E2364" i="2"/>
  <c r="F2364" i="2"/>
  <c r="I2364" i="2"/>
  <c r="E2365" i="2"/>
  <c r="F2365" i="2"/>
  <c r="I2365" i="2"/>
  <c r="J2365" i="2"/>
  <c r="E2366" i="2"/>
  <c r="F2366" i="2"/>
  <c r="I2366" i="2"/>
  <c r="E2367" i="2"/>
  <c r="F2367" i="2"/>
  <c r="I2367" i="2"/>
  <c r="J2367" i="2"/>
  <c r="E2368" i="2"/>
  <c r="I2368" i="2"/>
  <c r="J2368" i="2"/>
  <c r="E2369" i="2"/>
  <c r="I2369" i="2"/>
  <c r="J2369" i="2"/>
  <c r="E2370" i="2"/>
  <c r="I2370" i="2"/>
  <c r="J2370" i="2"/>
  <c r="E2371" i="2"/>
  <c r="F2371" i="2"/>
  <c r="I2371" i="2"/>
  <c r="E2372" i="2"/>
  <c r="I2372" i="2"/>
  <c r="J2372" i="2"/>
  <c r="E2373" i="2"/>
  <c r="I2373" i="2"/>
  <c r="J2373" i="2"/>
  <c r="E2374" i="2"/>
  <c r="I2374" i="2"/>
  <c r="J2374" i="2"/>
  <c r="E2375" i="2"/>
  <c r="I2375" i="2"/>
  <c r="J2375" i="2"/>
  <c r="E2376" i="2"/>
  <c r="I2376" i="2"/>
  <c r="J2376" i="2"/>
  <c r="E2377" i="2"/>
  <c r="F2377" i="2"/>
  <c r="I2377" i="2"/>
  <c r="E2378" i="2"/>
  <c r="F2378" i="2"/>
  <c r="I2378" i="2"/>
  <c r="E2379" i="2"/>
  <c r="F2379" i="2"/>
  <c r="I2379" i="2"/>
  <c r="J2379" i="2"/>
  <c r="E2380" i="2"/>
  <c r="F2380" i="2"/>
  <c r="I2380" i="2"/>
  <c r="J2380" i="2"/>
  <c r="E2381" i="2"/>
  <c r="I2381" i="2"/>
  <c r="J2381" i="2"/>
  <c r="E2382" i="2"/>
  <c r="F2382" i="2"/>
  <c r="I2382" i="2"/>
  <c r="J2382" i="2"/>
  <c r="E2383" i="2"/>
  <c r="F2383" i="2"/>
  <c r="I2383" i="2"/>
  <c r="J2383" i="2"/>
  <c r="E2384" i="2"/>
  <c r="I2384" i="2"/>
  <c r="J2384" i="2"/>
  <c r="E2385" i="2"/>
  <c r="F2385" i="2"/>
  <c r="I2385" i="2"/>
  <c r="J2385" i="2"/>
  <c r="E2386" i="2"/>
  <c r="F2386" i="2"/>
  <c r="I2386" i="2"/>
  <c r="E2387" i="2"/>
  <c r="F2387" i="2"/>
  <c r="I2387" i="2"/>
  <c r="E2388" i="2"/>
  <c r="F2388" i="2"/>
  <c r="I2388" i="2"/>
  <c r="E2389" i="2"/>
  <c r="F2389" i="2"/>
  <c r="I2389" i="2"/>
  <c r="J2389" i="2"/>
  <c r="E2390" i="2"/>
  <c r="I2390" i="2"/>
  <c r="J2390" i="2"/>
  <c r="E2391" i="2"/>
  <c r="I2391" i="2"/>
  <c r="J2391" i="2"/>
  <c r="E2392" i="2"/>
  <c r="I2392" i="2"/>
  <c r="J2392" i="2"/>
  <c r="E2393" i="2"/>
  <c r="I2393" i="2"/>
  <c r="J2393" i="2"/>
  <c r="E2394" i="2"/>
  <c r="I2394" i="2"/>
  <c r="J2394" i="2"/>
  <c r="E2395" i="2"/>
  <c r="I2395" i="2"/>
  <c r="J2395" i="2"/>
  <c r="E2396" i="2"/>
  <c r="I2396" i="2"/>
  <c r="J2396" i="2"/>
  <c r="E2397" i="2"/>
  <c r="I2397" i="2"/>
  <c r="J2397" i="2"/>
  <c r="E2398" i="2"/>
  <c r="I2398" i="2"/>
  <c r="J2398" i="2"/>
  <c r="E2399" i="2"/>
  <c r="I2399" i="2"/>
  <c r="J2399" i="2"/>
  <c r="E2400" i="2"/>
  <c r="I2400" i="2"/>
  <c r="J2400" i="2"/>
  <c r="E2401" i="2"/>
  <c r="I2401" i="2"/>
  <c r="J2401" i="2"/>
  <c r="E2402" i="2"/>
  <c r="I2402" i="2"/>
  <c r="J2402" i="2"/>
  <c r="E2403" i="2"/>
  <c r="I2403" i="2"/>
  <c r="J2403" i="2"/>
  <c r="E2404" i="2"/>
  <c r="I2404" i="2"/>
  <c r="J2404" i="2"/>
  <c r="E2405" i="2"/>
  <c r="I2405" i="2"/>
  <c r="J2405" i="2"/>
  <c r="E2406" i="2"/>
  <c r="I2406" i="2"/>
  <c r="J2406" i="2"/>
  <c r="E2407" i="2"/>
  <c r="I2407" i="2"/>
  <c r="J2407" i="2"/>
  <c r="E2408" i="2"/>
  <c r="I2408" i="2"/>
  <c r="J2408" i="2"/>
  <c r="E2409" i="2"/>
  <c r="I2409" i="2"/>
  <c r="J2409" i="2"/>
  <c r="E2410" i="2"/>
  <c r="F2410" i="2"/>
  <c r="I2410" i="2"/>
  <c r="E2411" i="2"/>
  <c r="F2411" i="2"/>
  <c r="I2411" i="2"/>
  <c r="J2411" i="2"/>
  <c r="E2412" i="2"/>
  <c r="I2412" i="2"/>
  <c r="J2412" i="2"/>
  <c r="E2413" i="2"/>
  <c r="F2413" i="2"/>
  <c r="I2413" i="2"/>
  <c r="E2414" i="2"/>
  <c r="F2414" i="2"/>
  <c r="I2414" i="2"/>
  <c r="E2415" i="2"/>
  <c r="F2415" i="2"/>
  <c r="I2415" i="2"/>
  <c r="E2416" i="2"/>
  <c r="F2416" i="2"/>
  <c r="I2416" i="2"/>
  <c r="E2417" i="2"/>
  <c r="F2417" i="2"/>
  <c r="I2417" i="2"/>
  <c r="E2418" i="2"/>
  <c r="I2418" i="2"/>
  <c r="J2418" i="2"/>
  <c r="E2419" i="2"/>
  <c r="F2419" i="2"/>
  <c r="I2419" i="2"/>
  <c r="J2419" i="2"/>
  <c r="E2420" i="2"/>
  <c r="I2420" i="2"/>
  <c r="J2420" i="2"/>
  <c r="E2421" i="2"/>
  <c r="F2421" i="2"/>
  <c r="I2421" i="2"/>
  <c r="J2421" i="2"/>
  <c r="E2422" i="2"/>
  <c r="F2422" i="2"/>
  <c r="I2422" i="2"/>
  <c r="J2422" i="2"/>
  <c r="E2423" i="2"/>
  <c r="I2423" i="2"/>
  <c r="J2423" i="2"/>
  <c r="E2424" i="2"/>
  <c r="I2424" i="2"/>
  <c r="E2425" i="2"/>
  <c r="F2425" i="2"/>
  <c r="I2425" i="2"/>
  <c r="J2425" i="2"/>
  <c r="E2426" i="2"/>
  <c r="I2426" i="2"/>
  <c r="E2427" i="2"/>
  <c r="F2427" i="2"/>
  <c r="I2427" i="2"/>
  <c r="J2427" i="2"/>
  <c r="E2428" i="2"/>
  <c r="I2428" i="2"/>
  <c r="J2428" i="2"/>
  <c r="E2429" i="2"/>
  <c r="I2429" i="2"/>
  <c r="J2429" i="2"/>
  <c r="E2430" i="2"/>
  <c r="F2430" i="2"/>
  <c r="I2430" i="2"/>
  <c r="E2431" i="2"/>
  <c r="I2431" i="2"/>
  <c r="J2431" i="2"/>
  <c r="E2432" i="2"/>
  <c r="F2432" i="2"/>
  <c r="I2432" i="2"/>
  <c r="E2433" i="2"/>
  <c r="I2433" i="2"/>
  <c r="J2433" i="2"/>
  <c r="E2434" i="2"/>
  <c r="F2434" i="2"/>
  <c r="I2434" i="2"/>
  <c r="J2434" i="2"/>
  <c r="E2435" i="2"/>
  <c r="F2435" i="2"/>
  <c r="I2435" i="2"/>
  <c r="E2436" i="2"/>
  <c r="F2436" i="2"/>
  <c r="I2436" i="2"/>
  <c r="E2437" i="2"/>
  <c r="F2437" i="2"/>
  <c r="I2437" i="2"/>
  <c r="E2438" i="2"/>
  <c r="F2438" i="2"/>
  <c r="I2438" i="2"/>
  <c r="E2439" i="2"/>
  <c r="F2439" i="2"/>
  <c r="I2439" i="2"/>
  <c r="J2439" i="2"/>
  <c r="E2440" i="2"/>
  <c r="F2440" i="2"/>
  <c r="I2440" i="2"/>
  <c r="J2440" i="2"/>
  <c r="E2441" i="2"/>
  <c r="F2441" i="2"/>
  <c r="I2441" i="2"/>
  <c r="J2441" i="2"/>
  <c r="E2442" i="2"/>
  <c r="F2442" i="2"/>
  <c r="I2442" i="2"/>
  <c r="J2442" i="2"/>
  <c r="E2443" i="2"/>
  <c r="F2443" i="2"/>
  <c r="I2443" i="2"/>
  <c r="E2444" i="2"/>
  <c r="I2444" i="2"/>
  <c r="J2444" i="2"/>
  <c r="E2445" i="2"/>
  <c r="F2445" i="2"/>
  <c r="I2445" i="2"/>
  <c r="E2446" i="2"/>
  <c r="F2446" i="2"/>
  <c r="I2446" i="2"/>
  <c r="E2447" i="2"/>
  <c r="F2447" i="2"/>
  <c r="I2447" i="2"/>
  <c r="E2448" i="2"/>
  <c r="F2448" i="2"/>
  <c r="I2448" i="2"/>
  <c r="E2449" i="2"/>
  <c r="F2449" i="2"/>
  <c r="I2449" i="2"/>
  <c r="E2450" i="2"/>
  <c r="I2450" i="2"/>
  <c r="J2450" i="2"/>
  <c r="E2451" i="2"/>
  <c r="I2451" i="2"/>
  <c r="J2451" i="2"/>
  <c r="E2452" i="2"/>
  <c r="F2452" i="2"/>
  <c r="I2452" i="2"/>
  <c r="J2452" i="2"/>
  <c r="E2453" i="2"/>
  <c r="F2453" i="2"/>
  <c r="I2453" i="2"/>
  <c r="J2453" i="2"/>
  <c r="E2454" i="2"/>
  <c r="F2454" i="2"/>
  <c r="I2454" i="2"/>
  <c r="E2455" i="2"/>
  <c r="F2455" i="2"/>
  <c r="I2455" i="2"/>
  <c r="E2456" i="2"/>
  <c r="I2456" i="2"/>
  <c r="J2456" i="2"/>
  <c r="E2457" i="2"/>
  <c r="F2457" i="2"/>
  <c r="I2457" i="2"/>
  <c r="E2458" i="2"/>
  <c r="F2458" i="2"/>
  <c r="I2458" i="2"/>
  <c r="J2458" i="2"/>
  <c r="E2459" i="2"/>
  <c r="I2459" i="2"/>
  <c r="E2460" i="2"/>
  <c r="F2460" i="2"/>
  <c r="I2460" i="2"/>
  <c r="E2461" i="2"/>
  <c r="F2461" i="2"/>
  <c r="I2461" i="2"/>
  <c r="E2462" i="2"/>
  <c r="F2462" i="2"/>
  <c r="I2462" i="2"/>
  <c r="E2463" i="2"/>
  <c r="F2463" i="2"/>
  <c r="I2463" i="2"/>
  <c r="E2464" i="2"/>
  <c r="F2464" i="2"/>
  <c r="I2464" i="2"/>
  <c r="E2465" i="2"/>
  <c r="F2465" i="2"/>
  <c r="I2465" i="2"/>
  <c r="J2465" i="2"/>
  <c r="E2466" i="2"/>
  <c r="F2466" i="2"/>
  <c r="I2466" i="2"/>
  <c r="J2466" i="2"/>
  <c r="E2467" i="2"/>
  <c r="F2467" i="2"/>
  <c r="I2467" i="2"/>
  <c r="J2467" i="2"/>
  <c r="E2468" i="2"/>
  <c r="F2468" i="2"/>
  <c r="I2468" i="2"/>
  <c r="J2468" i="2"/>
  <c r="E2469" i="2"/>
  <c r="I2469" i="2"/>
  <c r="J2469" i="2"/>
  <c r="E2470" i="2"/>
  <c r="F2470" i="2"/>
  <c r="I2470" i="2"/>
  <c r="E2471" i="2"/>
  <c r="F2471" i="2"/>
  <c r="I2471" i="2"/>
  <c r="J2471" i="2"/>
  <c r="E2472" i="2"/>
  <c r="F2472" i="2"/>
  <c r="I2472" i="2"/>
  <c r="E2473" i="2"/>
  <c r="F2473" i="2"/>
  <c r="I2473" i="2"/>
  <c r="E2474" i="2"/>
  <c r="I2474" i="2"/>
  <c r="J2474" i="2"/>
  <c r="E2475" i="2"/>
  <c r="F2475" i="2"/>
  <c r="I2475" i="2"/>
  <c r="J2475" i="2"/>
  <c r="E2476" i="2"/>
  <c r="F2476" i="2"/>
  <c r="I2476" i="2"/>
  <c r="J2476" i="2"/>
  <c r="E2477" i="2"/>
  <c r="I2477" i="2"/>
  <c r="J2477" i="2"/>
  <c r="E2478" i="2"/>
  <c r="I2478" i="2"/>
  <c r="J2478" i="2"/>
  <c r="E2479" i="2"/>
  <c r="I2479" i="2"/>
  <c r="J2479" i="2"/>
  <c r="E2480" i="2"/>
  <c r="F2480" i="2"/>
  <c r="I2480" i="2"/>
  <c r="J2480" i="2"/>
  <c r="E2481" i="2"/>
  <c r="I2481" i="2"/>
  <c r="J2481" i="2"/>
  <c r="E2482" i="2"/>
  <c r="I2482" i="2"/>
  <c r="J2482" i="2"/>
  <c r="E2483" i="2"/>
  <c r="F2483" i="2"/>
  <c r="I2483" i="2"/>
  <c r="E2484" i="2"/>
  <c r="F2484" i="2"/>
  <c r="I2484" i="2"/>
  <c r="E2485" i="2"/>
  <c r="I2485" i="2"/>
  <c r="J2485" i="2"/>
  <c r="E2486" i="2"/>
  <c r="I2486" i="2"/>
  <c r="J2486" i="2"/>
  <c r="E2487" i="2"/>
  <c r="I2487" i="2"/>
  <c r="J2487" i="2"/>
  <c r="E2488" i="2"/>
  <c r="F2488" i="2"/>
  <c r="I2488" i="2"/>
  <c r="E2489" i="2"/>
  <c r="F2489" i="2"/>
  <c r="I2489" i="2"/>
  <c r="E2490" i="2"/>
  <c r="F2490" i="2"/>
  <c r="I2490" i="2"/>
  <c r="E2491" i="2"/>
  <c r="F2491" i="2"/>
  <c r="I2491" i="2"/>
  <c r="E2492" i="2"/>
  <c r="F2492" i="2"/>
  <c r="I2492" i="2"/>
  <c r="J2492" i="2"/>
  <c r="E2493" i="2"/>
  <c r="F2493" i="2"/>
  <c r="I2493" i="2"/>
  <c r="J2493" i="2"/>
  <c r="E2494" i="2"/>
  <c r="F2494" i="2"/>
  <c r="I2494" i="2"/>
  <c r="E2495" i="2"/>
  <c r="I2495" i="2"/>
  <c r="J2495" i="2"/>
  <c r="E2496" i="2"/>
  <c r="F2496" i="2"/>
  <c r="I2496" i="2"/>
  <c r="E2497" i="2"/>
  <c r="F2497" i="2"/>
  <c r="I2497" i="2"/>
  <c r="J2497" i="2"/>
  <c r="E2498" i="2"/>
  <c r="F2498" i="2"/>
  <c r="I2498" i="2"/>
  <c r="E2499" i="2"/>
  <c r="F2499" i="2"/>
  <c r="I2499" i="2"/>
  <c r="E2500" i="2"/>
  <c r="I2500" i="2"/>
  <c r="J2500" i="2"/>
  <c r="E2501" i="2"/>
  <c r="I2501" i="2"/>
  <c r="J2501" i="2"/>
  <c r="E2502" i="2"/>
  <c r="F2502" i="2"/>
  <c r="I2502" i="2"/>
  <c r="E2503" i="2"/>
  <c r="F2503" i="2"/>
  <c r="I2503" i="2"/>
  <c r="J2503" i="2"/>
  <c r="E2504" i="2"/>
  <c r="F2504" i="2"/>
  <c r="I2504" i="2"/>
  <c r="J2504" i="2"/>
  <c r="E2505" i="2"/>
  <c r="F2505" i="2"/>
  <c r="I2505" i="2"/>
  <c r="E2506" i="2"/>
  <c r="I2506" i="2"/>
  <c r="E2507" i="2"/>
  <c r="I2507" i="2"/>
  <c r="J2507" i="2"/>
  <c r="E2508" i="2"/>
  <c r="I2508" i="2"/>
  <c r="J2508" i="2"/>
  <c r="E2509" i="2"/>
  <c r="I2509" i="2"/>
  <c r="E2510" i="2"/>
  <c r="F2510" i="2"/>
  <c r="I2510" i="2"/>
  <c r="E2511" i="2"/>
  <c r="I2511" i="2"/>
  <c r="J2511" i="2"/>
  <c r="E2512" i="2"/>
  <c r="I2512" i="2"/>
  <c r="J2512" i="2"/>
  <c r="E2513" i="2"/>
  <c r="F2513" i="2"/>
  <c r="I2513" i="2"/>
  <c r="J2513" i="2"/>
  <c r="E2514" i="2"/>
  <c r="F2514" i="2"/>
  <c r="I2514" i="2"/>
  <c r="J2514" i="2"/>
  <c r="E2515" i="2"/>
  <c r="F2515" i="2"/>
  <c r="I2515" i="2"/>
  <c r="J2515" i="2"/>
  <c r="E2516" i="2"/>
  <c r="F2516" i="2"/>
  <c r="I2516" i="2"/>
  <c r="J2516" i="2"/>
  <c r="E2517" i="2"/>
  <c r="F2517" i="2"/>
  <c r="I2517" i="2"/>
  <c r="J2517" i="2"/>
  <c r="E2518" i="2"/>
  <c r="F2518" i="2"/>
  <c r="I2518" i="2"/>
  <c r="J2518" i="2"/>
  <c r="E2519" i="2"/>
  <c r="F2519" i="2"/>
  <c r="I2519" i="2"/>
  <c r="J2519" i="2"/>
  <c r="E2520" i="2"/>
  <c r="F2520" i="2"/>
  <c r="I2520" i="2"/>
  <c r="J2520" i="2"/>
  <c r="E2521" i="2"/>
  <c r="F2521" i="2"/>
  <c r="I2521" i="2"/>
  <c r="E2522" i="2"/>
  <c r="I2522" i="2"/>
  <c r="E2523" i="2"/>
  <c r="F2523" i="2"/>
  <c r="I2523" i="2"/>
  <c r="E2524" i="2"/>
  <c r="F2524" i="2"/>
  <c r="I2524" i="2"/>
  <c r="E2525" i="2"/>
  <c r="F2525" i="2"/>
  <c r="I2525" i="2"/>
  <c r="J2525" i="2"/>
  <c r="E2526" i="2"/>
  <c r="F2526" i="2"/>
  <c r="I2526" i="2"/>
  <c r="J2526" i="2"/>
  <c r="E2527" i="2"/>
  <c r="F2527" i="2"/>
  <c r="I2527" i="2"/>
  <c r="J2527" i="2"/>
  <c r="E2528" i="2"/>
  <c r="F2528" i="2"/>
  <c r="I2528" i="2"/>
  <c r="J2528" i="2"/>
  <c r="E2529" i="2"/>
  <c r="F2529" i="2"/>
  <c r="I2529" i="2"/>
  <c r="J2529" i="2"/>
  <c r="E2530" i="2"/>
  <c r="F2530" i="2"/>
  <c r="I2530" i="2"/>
  <c r="J2530" i="2"/>
  <c r="E2531" i="2"/>
  <c r="F2531" i="2"/>
  <c r="I2531" i="2"/>
  <c r="E2532" i="2"/>
  <c r="F2532" i="2"/>
  <c r="I2532" i="2"/>
  <c r="J2532" i="2"/>
  <c r="E2533" i="2"/>
  <c r="F2533" i="2"/>
  <c r="I2533" i="2"/>
  <c r="E2534" i="2"/>
  <c r="F2534" i="2"/>
  <c r="I2534" i="2"/>
  <c r="E2535" i="2"/>
  <c r="F2535" i="2"/>
  <c r="I2535" i="2"/>
  <c r="E2536" i="2"/>
  <c r="F2536" i="2"/>
  <c r="I2536" i="2"/>
  <c r="E2537" i="2"/>
  <c r="I2537" i="2"/>
  <c r="J2537" i="2"/>
  <c r="E2538" i="2"/>
  <c r="I2538" i="2"/>
  <c r="J2538" i="2"/>
  <c r="E2539" i="2"/>
  <c r="I2539" i="2"/>
  <c r="J2539" i="2"/>
  <c r="E2540" i="2"/>
  <c r="I2540" i="2"/>
  <c r="J2540" i="2"/>
  <c r="E2541" i="2"/>
  <c r="I2541" i="2"/>
  <c r="J2541" i="2"/>
  <c r="E2542" i="2"/>
  <c r="I2542" i="2"/>
  <c r="E2543" i="2"/>
  <c r="I2543" i="2"/>
  <c r="E2544" i="2"/>
  <c r="F2544" i="2"/>
  <c r="I2544" i="2"/>
  <c r="E2545" i="2"/>
  <c r="F2545" i="2"/>
  <c r="I2545" i="2"/>
  <c r="E2546" i="2"/>
  <c r="F2546" i="2"/>
  <c r="I2546" i="2"/>
  <c r="J2546" i="2"/>
  <c r="E2547" i="2"/>
  <c r="F2547" i="2"/>
  <c r="I2547" i="2"/>
  <c r="E2548" i="2"/>
  <c r="F2548" i="2"/>
  <c r="I2548" i="2"/>
  <c r="E2549" i="2"/>
  <c r="F2549" i="2"/>
  <c r="I2549" i="2"/>
  <c r="J2549" i="2"/>
  <c r="E2550" i="2"/>
  <c r="F2550" i="2"/>
  <c r="I2550" i="2"/>
  <c r="J2550" i="2"/>
  <c r="E2551" i="2"/>
  <c r="F2551" i="2"/>
  <c r="I2551" i="2"/>
  <c r="J2551" i="2"/>
  <c r="E2552" i="2"/>
  <c r="F2552" i="2"/>
  <c r="I2552" i="2"/>
  <c r="E2553" i="2"/>
  <c r="F2553" i="2"/>
  <c r="I2553" i="2"/>
  <c r="J2553" i="2"/>
  <c r="E2554" i="2"/>
  <c r="F2554" i="2"/>
  <c r="I2554" i="2"/>
  <c r="E2555" i="2"/>
  <c r="F2555" i="2"/>
  <c r="I2555" i="2"/>
  <c r="J2555" i="2"/>
  <c r="E2556" i="2"/>
  <c r="I2556" i="2"/>
  <c r="J2556" i="2"/>
  <c r="E2557" i="2"/>
  <c r="I2557" i="2"/>
  <c r="J2557" i="2"/>
  <c r="E2558" i="2"/>
  <c r="I2558" i="2"/>
  <c r="J2558" i="2"/>
  <c r="E2559" i="2"/>
  <c r="I2559" i="2"/>
  <c r="J2559" i="2"/>
  <c r="E2560" i="2"/>
  <c r="I2560" i="2"/>
  <c r="J2560" i="2"/>
  <c r="E2561" i="2"/>
  <c r="I2561" i="2"/>
  <c r="J2561" i="2"/>
  <c r="E2562" i="2"/>
  <c r="F2562" i="2"/>
  <c r="I2562" i="2"/>
  <c r="J2562" i="2"/>
  <c r="E2563" i="2"/>
  <c r="I2563" i="2"/>
  <c r="J2563" i="2"/>
  <c r="E2564" i="2"/>
  <c r="F2564" i="2"/>
  <c r="I2564" i="2"/>
  <c r="J2564" i="2"/>
  <c r="E2565" i="2"/>
  <c r="F2565" i="2"/>
  <c r="I2565" i="2"/>
  <c r="E2566" i="2"/>
  <c r="F2566" i="2"/>
  <c r="I2566" i="2"/>
  <c r="E2567" i="2"/>
  <c r="I2567" i="2"/>
  <c r="J2567" i="2"/>
  <c r="E2568" i="2"/>
  <c r="I2568" i="2"/>
  <c r="J2568" i="2"/>
  <c r="E2569" i="2"/>
  <c r="I2569" i="2"/>
  <c r="J2569" i="2"/>
  <c r="E2570" i="2"/>
  <c r="I2570" i="2"/>
  <c r="E2571" i="2"/>
  <c r="I2571" i="2"/>
  <c r="E2572" i="2"/>
  <c r="I2572" i="2"/>
  <c r="E2573" i="2"/>
  <c r="I2573" i="2"/>
  <c r="J2573" i="2"/>
  <c r="E2574" i="2"/>
  <c r="F2574" i="2"/>
  <c r="I2574" i="2"/>
  <c r="E2575" i="2"/>
  <c r="F2575" i="2"/>
  <c r="I2575" i="2"/>
  <c r="J2575" i="2"/>
  <c r="E2576" i="2"/>
  <c r="F2576" i="2"/>
  <c r="I2576" i="2"/>
  <c r="J2576" i="2"/>
  <c r="E2577" i="2"/>
  <c r="I2577" i="2"/>
  <c r="J2577" i="2"/>
  <c r="E2578" i="2"/>
  <c r="I2578" i="2"/>
  <c r="J2578" i="2"/>
  <c r="E2579" i="2"/>
  <c r="F2579" i="2"/>
  <c r="I2579" i="2"/>
  <c r="J2579" i="2"/>
  <c r="E2580" i="2"/>
  <c r="F2580" i="2"/>
  <c r="I2580" i="2"/>
  <c r="E2581" i="2"/>
  <c r="F2581" i="2"/>
  <c r="I2581" i="2"/>
  <c r="E2582" i="2"/>
  <c r="I2582" i="2"/>
  <c r="E2583" i="2"/>
  <c r="F2583" i="2"/>
  <c r="I2583" i="2"/>
  <c r="E2584" i="2"/>
  <c r="F2584" i="2"/>
  <c r="I2584" i="2"/>
  <c r="E2585" i="2"/>
  <c r="F2585" i="2"/>
  <c r="I2585" i="2"/>
  <c r="E2586" i="2"/>
  <c r="F2586" i="2"/>
  <c r="I2586" i="2"/>
  <c r="E2587" i="2"/>
  <c r="F2587" i="2"/>
  <c r="I2587" i="2"/>
  <c r="J2587" i="2"/>
  <c r="E2588" i="2"/>
  <c r="F2588" i="2"/>
  <c r="I2588" i="2"/>
  <c r="J2588" i="2"/>
  <c r="E2589" i="2"/>
  <c r="I2589" i="2"/>
  <c r="J2589" i="2"/>
  <c r="E2590" i="2"/>
  <c r="F2590" i="2"/>
  <c r="I2590" i="2"/>
  <c r="E2591" i="2"/>
  <c r="I2591" i="2"/>
  <c r="J2591" i="2"/>
  <c r="E2592" i="2"/>
  <c r="I2592" i="2"/>
  <c r="J2592" i="2"/>
  <c r="E2593" i="2"/>
  <c r="I2593" i="2"/>
  <c r="J2593" i="2"/>
  <c r="E2594" i="2"/>
  <c r="I2594" i="2"/>
  <c r="J2594" i="2"/>
  <c r="E2595" i="2"/>
  <c r="I2595" i="2"/>
  <c r="J2595" i="2"/>
  <c r="E2596" i="2"/>
  <c r="I2596" i="2"/>
  <c r="J2596" i="2"/>
  <c r="E2597" i="2"/>
  <c r="I2597" i="2"/>
  <c r="J2597" i="2"/>
  <c r="E2598" i="2"/>
  <c r="I2598" i="2"/>
  <c r="J2598" i="2"/>
  <c r="E2599" i="2"/>
  <c r="I2599" i="2"/>
  <c r="J2599" i="2"/>
  <c r="E2600" i="2"/>
  <c r="F2600" i="2"/>
  <c r="I2600" i="2"/>
  <c r="E2601" i="2"/>
  <c r="F2601" i="2"/>
  <c r="I2601" i="2"/>
  <c r="J2601" i="2"/>
  <c r="E2602" i="2"/>
  <c r="F2602" i="2"/>
  <c r="I2602" i="2"/>
  <c r="E2603" i="2"/>
  <c r="F2603" i="2"/>
  <c r="I2603" i="2"/>
  <c r="J2603" i="2"/>
  <c r="E2604" i="2"/>
  <c r="F2604" i="2"/>
  <c r="I2604" i="2"/>
  <c r="E2605" i="2"/>
  <c r="F2605" i="2"/>
  <c r="I2605" i="2"/>
  <c r="J2605" i="2"/>
  <c r="D11" i="1"/>
  <c r="E11" i="1"/>
  <c r="H11" i="1"/>
  <c r="I11" i="1"/>
  <c r="D16" i="1"/>
  <c r="E16" i="1"/>
  <c r="H16" i="1"/>
  <c r="I16" i="1"/>
  <c r="D17" i="1"/>
  <c r="E17" i="1"/>
  <c r="H17" i="1"/>
  <c r="I17" i="1"/>
  <c r="D2" i="1"/>
  <c r="H2" i="1"/>
  <c r="I2" i="1"/>
  <c r="D3" i="1"/>
  <c r="E3" i="1"/>
  <c r="H3" i="1"/>
  <c r="D18" i="1"/>
  <c r="E18" i="1"/>
  <c r="H18" i="1"/>
  <c r="D19" i="1"/>
  <c r="E19" i="1"/>
  <c r="H19" i="1"/>
  <c r="D20" i="1"/>
  <c r="E20" i="1"/>
  <c r="H20" i="1"/>
  <c r="D21" i="1"/>
  <c r="E21" i="1"/>
  <c r="H21" i="1"/>
  <c r="D22" i="1"/>
  <c r="E22" i="1"/>
  <c r="H22" i="1"/>
  <c r="I22" i="1"/>
  <c r="D12" i="1"/>
  <c r="H12" i="1"/>
  <c r="I12" i="1"/>
  <c r="D13" i="1"/>
  <c r="H13" i="1"/>
  <c r="I13" i="1"/>
  <c r="D14" i="1"/>
  <c r="H14" i="1"/>
  <c r="I14" i="1"/>
  <c r="D23" i="1"/>
  <c r="E23" i="1"/>
  <c r="H23" i="1"/>
  <c r="D5" i="1"/>
  <c r="E5" i="1"/>
  <c r="H5" i="1"/>
  <c r="D6" i="1"/>
  <c r="E6" i="1"/>
  <c r="H6" i="1"/>
  <c r="D7" i="1"/>
  <c r="E7" i="1"/>
  <c r="H7" i="1"/>
  <c r="D15" i="1"/>
  <c r="H15" i="1"/>
  <c r="I15" i="1"/>
  <c r="D8" i="1"/>
  <c r="E8" i="1"/>
  <c r="H8" i="1"/>
  <c r="I8" i="1"/>
  <c r="D29" i="1"/>
  <c r="H29" i="1"/>
  <c r="I29" i="1"/>
  <c r="D4" i="1"/>
  <c r="E4" i="1"/>
  <c r="H4" i="1"/>
  <c r="I4" i="1"/>
  <c r="D25" i="1"/>
  <c r="H25" i="1"/>
  <c r="I25" i="1"/>
  <c r="D9" i="1"/>
  <c r="H9" i="1"/>
  <c r="I9" i="1"/>
  <c r="D10" i="1"/>
  <c r="H10" i="1"/>
  <c r="I10" i="1"/>
  <c r="D24" i="1"/>
  <c r="E24" i="1"/>
  <c r="H24" i="1"/>
  <c r="I24" i="1"/>
  <c r="D26" i="1"/>
  <c r="H26" i="1"/>
  <c r="I26" i="1"/>
  <c r="D27" i="1"/>
  <c r="H27" i="1"/>
  <c r="I27" i="1"/>
  <c r="D28" i="1"/>
  <c r="H28" i="1"/>
  <c r="I28" i="1"/>
  <c r="D55" i="1"/>
  <c r="E55" i="1"/>
  <c r="H55" i="1"/>
  <c r="D31" i="1"/>
  <c r="E31" i="1"/>
  <c r="H31" i="1"/>
  <c r="D50" i="1"/>
  <c r="E50" i="1"/>
  <c r="H50" i="1"/>
  <c r="D51" i="1"/>
  <c r="E51" i="1"/>
  <c r="H51" i="1"/>
  <c r="D56" i="1"/>
  <c r="E56" i="1"/>
  <c r="H56" i="1"/>
  <c r="I56" i="1"/>
  <c r="D57" i="1"/>
  <c r="E57" i="1"/>
  <c r="H57" i="1"/>
  <c r="I57" i="1"/>
  <c r="D59" i="1"/>
  <c r="E59" i="1"/>
  <c r="H59" i="1"/>
  <c r="D60" i="1"/>
  <c r="E60" i="1"/>
  <c r="H60" i="1"/>
  <c r="I60" i="1"/>
  <c r="D61" i="1"/>
  <c r="E61" i="1"/>
  <c r="H61" i="1"/>
  <c r="I61" i="1"/>
  <c r="D158" i="1"/>
  <c r="H158" i="1"/>
  <c r="I158" i="1"/>
  <c r="D62" i="1"/>
  <c r="H62" i="1"/>
  <c r="I62" i="1"/>
  <c r="D63" i="1"/>
  <c r="H63" i="1"/>
  <c r="D64" i="1"/>
  <c r="E64" i="1"/>
  <c r="H64" i="1"/>
  <c r="D65" i="1"/>
  <c r="E65" i="1"/>
  <c r="H65" i="1"/>
  <c r="D123" i="1"/>
  <c r="E123" i="1"/>
  <c r="H123" i="1"/>
  <c r="D73" i="1"/>
  <c r="H73" i="1"/>
  <c r="I73" i="1"/>
  <c r="D184" i="1"/>
  <c r="H184" i="1"/>
  <c r="I184" i="1"/>
  <c r="D124" i="1"/>
  <c r="H124" i="1"/>
  <c r="I124" i="1"/>
  <c r="D125" i="1"/>
  <c r="H125" i="1"/>
  <c r="D126" i="1"/>
  <c r="E126" i="1"/>
  <c r="H126" i="1"/>
  <c r="D127" i="1"/>
  <c r="H127" i="1"/>
  <c r="I127" i="1"/>
  <c r="D128" i="1"/>
  <c r="E128" i="1"/>
  <c r="H128" i="1"/>
  <c r="I128" i="1"/>
  <c r="D129" i="1"/>
  <c r="E129" i="1"/>
  <c r="H129" i="1"/>
  <c r="I129" i="1"/>
  <c r="D74" i="1"/>
  <c r="E74" i="1"/>
  <c r="H74" i="1"/>
  <c r="D185" i="1"/>
  <c r="H185" i="1"/>
  <c r="D186" i="1"/>
  <c r="H186" i="1"/>
  <c r="I186" i="1"/>
  <c r="D130" i="1"/>
  <c r="H130" i="1"/>
  <c r="D131" i="1"/>
  <c r="H131" i="1"/>
  <c r="I131" i="1"/>
  <c r="D132" i="1"/>
  <c r="H132" i="1"/>
  <c r="I132" i="1"/>
  <c r="D187" i="1"/>
  <c r="H187" i="1"/>
  <c r="I187" i="1"/>
  <c r="D188" i="1"/>
  <c r="H188" i="1"/>
  <c r="I188" i="1"/>
  <c r="D133" i="1"/>
  <c r="H133" i="1"/>
  <c r="I133" i="1"/>
  <c r="D75" i="1"/>
  <c r="E75" i="1"/>
  <c r="H75" i="1"/>
  <c r="D170" i="1"/>
  <c r="E170" i="1"/>
  <c r="H170" i="1"/>
  <c r="D53" i="1"/>
  <c r="E53" i="1"/>
  <c r="H53" i="1"/>
  <c r="D150" i="1"/>
  <c r="E150" i="1"/>
  <c r="H150" i="1"/>
  <c r="D151" i="1"/>
  <c r="E151" i="1"/>
  <c r="H151" i="1"/>
  <c r="D115" i="1"/>
  <c r="E115" i="1"/>
  <c r="H115" i="1"/>
  <c r="D116" i="1"/>
  <c r="E116" i="1"/>
  <c r="H116" i="1"/>
  <c r="I116" i="1"/>
  <c r="D117" i="1"/>
  <c r="E117" i="1"/>
  <c r="H117" i="1"/>
  <c r="I117" i="1"/>
  <c r="D118" i="1"/>
  <c r="E118" i="1"/>
  <c r="H118" i="1"/>
  <c r="D152" i="1"/>
  <c r="E152" i="1"/>
  <c r="H152" i="1"/>
  <c r="D153" i="1"/>
  <c r="E153" i="1"/>
  <c r="H153" i="1"/>
  <c r="D154" i="1"/>
  <c r="E154" i="1"/>
  <c r="H154" i="1"/>
  <c r="D155" i="1"/>
  <c r="E155" i="1"/>
  <c r="H155" i="1"/>
  <c r="D156" i="1"/>
  <c r="E156" i="1"/>
  <c r="H156" i="1"/>
  <c r="D157" i="1"/>
  <c r="E157" i="1"/>
  <c r="H157" i="1"/>
  <c r="D171" i="1"/>
  <c r="E171" i="1"/>
  <c r="H171" i="1"/>
  <c r="D172" i="1"/>
  <c r="E172" i="1"/>
  <c r="H172" i="1"/>
  <c r="D88" i="1"/>
  <c r="E88" i="1"/>
  <c r="H88" i="1"/>
  <c r="I88" i="1"/>
  <c r="D182" i="1"/>
  <c r="H182" i="1"/>
  <c r="I182" i="1"/>
  <c r="D163" i="1"/>
  <c r="H163" i="1"/>
  <c r="I163" i="1"/>
  <c r="D84" i="1"/>
  <c r="E84" i="1"/>
  <c r="H84" i="1"/>
  <c r="D119" i="1"/>
  <c r="E119" i="1"/>
  <c r="H119" i="1"/>
  <c r="D32" i="1"/>
  <c r="E32" i="1"/>
  <c r="H32" i="1"/>
  <c r="I32" i="1"/>
  <c r="D159" i="1"/>
  <c r="H159" i="1"/>
  <c r="D82" i="1"/>
  <c r="E82" i="1"/>
  <c r="H82" i="1"/>
  <c r="I82" i="1"/>
  <c r="D164" i="1"/>
  <c r="E164" i="1"/>
  <c r="H164" i="1"/>
  <c r="D86" i="1"/>
  <c r="H86" i="1"/>
  <c r="I86" i="1"/>
  <c r="D72" i="1"/>
  <c r="H72" i="1"/>
  <c r="D134" i="1"/>
  <c r="E134" i="1"/>
  <c r="H134" i="1"/>
  <c r="D149" i="1"/>
  <c r="H149" i="1"/>
  <c r="I149" i="1"/>
  <c r="D121" i="1"/>
  <c r="E121" i="1"/>
  <c r="H121" i="1"/>
  <c r="D107" i="1"/>
  <c r="E107" i="1"/>
  <c r="H107" i="1"/>
  <c r="D108" i="1"/>
  <c r="E108" i="1"/>
  <c r="H108" i="1"/>
  <c r="D109" i="1"/>
  <c r="E109" i="1"/>
  <c r="H109" i="1"/>
  <c r="D110" i="1"/>
  <c r="E110" i="1"/>
  <c r="H110" i="1"/>
  <c r="D111" i="1"/>
  <c r="E111" i="1"/>
  <c r="H111" i="1"/>
  <c r="D180" i="1"/>
  <c r="E180" i="1"/>
  <c r="H180" i="1"/>
  <c r="D160" i="1"/>
  <c r="E160" i="1"/>
  <c r="H160" i="1"/>
  <c r="D120" i="1"/>
  <c r="H120" i="1"/>
  <c r="I120" i="1"/>
  <c r="D54" i="1"/>
  <c r="H54" i="1"/>
  <c r="D135" i="1"/>
  <c r="H135" i="1"/>
  <c r="D136" i="1"/>
  <c r="H136" i="1"/>
  <c r="I136" i="1"/>
  <c r="D137" i="1"/>
  <c r="H137" i="1"/>
  <c r="I137" i="1"/>
  <c r="D90" i="1"/>
  <c r="H90" i="1"/>
  <c r="D91" i="1"/>
  <c r="H91" i="1"/>
  <c r="I91" i="1"/>
  <c r="D138" i="1"/>
  <c r="E138" i="1"/>
  <c r="H138" i="1"/>
  <c r="D139" i="1"/>
  <c r="E139" i="1"/>
  <c r="H139" i="1"/>
  <c r="D140" i="1"/>
  <c r="H140" i="1"/>
  <c r="I140" i="1"/>
  <c r="D141" i="1"/>
  <c r="H141" i="1"/>
  <c r="I141" i="1"/>
  <c r="D142" i="1"/>
  <c r="H142" i="1"/>
  <c r="D143" i="1"/>
  <c r="H143" i="1"/>
  <c r="D92" i="1"/>
  <c r="E92" i="1"/>
  <c r="H92" i="1"/>
  <c r="D144" i="1"/>
  <c r="H144" i="1"/>
  <c r="I144" i="1"/>
  <c r="D145" i="1"/>
  <c r="E145" i="1"/>
  <c r="H145" i="1"/>
  <c r="I145" i="1"/>
  <c r="D146" i="1"/>
  <c r="E146" i="1"/>
  <c r="H146" i="1"/>
  <c r="I146" i="1"/>
  <c r="D147" i="1"/>
  <c r="H147" i="1"/>
  <c r="I147" i="1"/>
  <c r="D148" i="1"/>
  <c r="E148" i="1"/>
  <c r="H148" i="1"/>
  <c r="D191" i="1"/>
  <c r="E191" i="1"/>
  <c r="H191" i="1"/>
  <c r="I191" i="1"/>
  <c r="D47" i="1"/>
  <c r="E47" i="1"/>
  <c r="H47" i="1"/>
  <c r="I47" i="1"/>
  <c r="D192" i="1"/>
  <c r="H192" i="1"/>
  <c r="D66" i="1"/>
  <c r="E66" i="1"/>
  <c r="H66" i="1"/>
  <c r="I66" i="1"/>
  <c r="D161" i="1"/>
  <c r="E161" i="1"/>
  <c r="H161" i="1"/>
  <c r="D162" i="1"/>
  <c r="H162" i="1"/>
  <c r="I162" i="1"/>
  <c r="D58" i="1"/>
  <c r="E58" i="1"/>
  <c r="H58" i="1"/>
  <c r="I58" i="1"/>
  <c r="D112" i="1"/>
  <c r="H112" i="1"/>
  <c r="I112" i="1"/>
  <c r="D193" i="1"/>
  <c r="H193" i="1"/>
  <c r="I193" i="1"/>
  <c r="D183" i="1"/>
  <c r="H183" i="1"/>
  <c r="I183" i="1"/>
  <c r="D178" i="1"/>
  <c r="H178" i="1"/>
  <c r="I178" i="1"/>
  <c r="D189" i="1"/>
  <c r="E189" i="1"/>
  <c r="H189" i="1"/>
  <c r="I189" i="1"/>
  <c r="D89" i="1"/>
  <c r="H89" i="1"/>
  <c r="I89" i="1"/>
  <c r="D190" i="1"/>
  <c r="E190" i="1"/>
  <c r="H190" i="1"/>
  <c r="I190" i="1"/>
  <c r="D165" i="1"/>
  <c r="E165" i="1"/>
  <c r="H165" i="1"/>
  <c r="I165" i="1"/>
  <c r="D166" i="1"/>
  <c r="E166" i="1"/>
  <c r="H166" i="1"/>
  <c r="D67" i="1"/>
  <c r="E67" i="1"/>
  <c r="H67" i="1"/>
  <c r="D68" i="1"/>
  <c r="E68" i="1"/>
  <c r="H68" i="1"/>
  <c r="D69" i="1"/>
  <c r="H69" i="1"/>
  <c r="I69" i="1"/>
  <c r="D194" i="1"/>
  <c r="E194" i="1"/>
  <c r="H194" i="1"/>
  <c r="I194" i="1"/>
  <c r="D46" i="1"/>
  <c r="E46" i="1"/>
  <c r="H46" i="1"/>
  <c r="I46" i="1"/>
  <c r="D48" i="1"/>
  <c r="H48" i="1"/>
  <c r="I48" i="1"/>
  <c r="D52" i="1"/>
  <c r="H52" i="1"/>
  <c r="I52" i="1"/>
  <c r="D83" i="1"/>
  <c r="E83" i="1"/>
  <c r="H83" i="1"/>
  <c r="D93" i="1"/>
  <c r="E93" i="1"/>
  <c r="H93" i="1"/>
  <c r="I93" i="1"/>
  <c r="D30" i="1"/>
  <c r="E30" i="1"/>
  <c r="H30" i="1"/>
  <c r="D195" i="1"/>
  <c r="E195" i="1"/>
  <c r="H195" i="1"/>
  <c r="I195" i="1"/>
  <c r="D173" i="1"/>
  <c r="H173" i="1"/>
  <c r="I173" i="1"/>
  <c r="D33" i="1"/>
  <c r="H33" i="1"/>
  <c r="I33" i="1"/>
  <c r="D85" i="1"/>
  <c r="E85" i="1"/>
  <c r="H85" i="1"/>
  <c r="I85" i="1"/>
  <c r="D76" i="1"/>
  <c r="E76" i="1"/>
  <c r="H76" i="1"/>
  <c r="D94" i="1"/>
  <c r="H94" i="1"/>
  <c r="I94" i="1"/>
  <c r="D87" i="1"/>
  <c r="H87" i="1"/>
  <c r="I87" i="1"/>
  <c r="D95" i="1"/>
  <c r="H95" i="1"/>
  <c r="I95" i="1"/>
  <c r="D96" i="1"/>
  <c r="H96" i="1"/>
  <c r="I96" i="1"/>
  <c r="D196" i="1"/>
  <c r="H196" i="1"/>
  <c r="I196" i="1"/>
  <c r="D197" i="1"/>
  <c r="H197" i="1"/>
  <c r="I197" i="1"/>
  <c r="D34" i="1"/>
  <c r="H34" i="1"/>
  <c r="D198" i="1"/>
  <c r="H198" i="1"/>
  <c r="I198" i="1"/>
  <c r="D77" i="1"/>
  <c r="H77" i="1"/>
  <c r="I77" i="1"/>
  <c r="D78" i="1"/>
  <c r="E78" i="1"/>
  <c r="H78" i="1"/>
  <c r="D79" i="1"/>
  <c r="E79" i="1"/>
  <c r="H79" i="1"/>
  <c r="D35" i="1"/>
  <c r="E35" i="1"/>
  <c r="H35" i="1"/>
  <c r="D36" i="1"/>
  <c r="E36" i="1"/>
  <c r="H36" i="1"/>
  <c r="D37" i="1"/>
  <c r="E37" i="1"/>
  <c r="H37" i="1"/>
  <c r="D38" i="1"/>
  <c r="H38" i="1"/>
  <c r="I38" i="1"/>
  <c r="D39" i="1"/>
  <c r="H39" i="1"/>
  <c r="D40" i="1"/>
  <c r="H40" i="1"/>
  <c r="D41" i="1"/>
  <c r="H41" i="1"/>
  <c r="D42" i="1"/>
  <c r="H42" i="1"/>
  <c r="I42" i="1"/>
  <c r="D43" i="1"/>
  <c r="E43" i="1"/>
  <c r="H43" i="1"/>
  <c r="I43" i="1"/>
  <c r="D80" i="1"/>
  <c r="E80" i="1"/>
  <c r="H80" i="1"/>
  <c r="D44" i="1"/>
  <c r="E44" i="1"/>
  <c r="H44" i="1"/>
  <c r="I44" i="1"/>
  <c r="D81" i="1"/>
  <c r="E81" i="1"/>
  <c r="H81" i="1"/>
  <c r="D45" i="1"/>
  <c r="H45" i="1"/>
  <c r="I45" i="1"/>
  <c r="D97" i="1"/>
  <c r="H97" i="1"/>
  <c r="I97" i="1"/>
  <c r="D199" i="1"/>
  <c r="E199" i="1"/>
  <c r="H199" i="1"/>
  <c r="D200" i="1"/>
  <c r="E200" i="1"/>
  <c r="H200" i="1"/>
  <c r="D201" i="1"/>
  <c r="H201" i="1"/>
  <c r="I201" i="1"/>
  <c r="D174" i="1"/>
  <c r="H174" i="1"/>
  <c r="I174" i="1"/>
  <c r="D175" i="1"/>
  <c r="H175" i="1"/>
  <c r="I175" i="1"/>
  <c r="D176" i="1"/>
  <c r="H176" i="1"/>
  <c r="I176" i="1"/>
  <c r="D177" i="1"/>
  <c r="H177" i="1"/>
  <c r="I177" i="1"/>
  <c r="D98" i="1"/>
  <c r="H98" i="1"/>
  <c r="I98" i="1"/>
  <c r="D99" i="1"/>
  <c r="H99" i="1"/>
  <c r="I99" i="1"/>
  <c r="D100" i="1"/>
  <c r="H100" i="1"/>
  <c r="I100" i="1"/>
  <c r="D101" i="1"/>
  <c r="H101" i="1"/>
  <c r="I101" i="1"/>
  <c r="D102" i="1"/>
  <c r="H102" i="1"/>
  <c r="I102" i="1"/>
  <c r="D103" i="1"/>
  <c r="H103" i="1"/>
  <c r="I103" i="1"/>
  <c r="D104" i="1"/>
  <c r="H104" i="1"/>
  <c r="I104" i="1"/>
  <c r="D105" i="1"/>
  <c r="H105" i="1"/>
  <c r="I105" i="1"/>
  <c r="D106" i="1"/>
  <c r="H106" i="1"/>
  <c r="I106" i="1"/>
  <c r="D70" i="1"/>
  <c r="H70" i="1"/>
  <c r="I70" i="1"/>
  <c r="D168" i="1"/>
  <c r="H168" i="1"/>
  <c r="I168" i="1"/>
  <c r="D169" i="1"/>
  <c r="H169" i="1"/>
  <c r="I169" i="1"/>
  <c r="D113" i="1"/>
  <c r="H113" i="1"/>
  <c r="I113" i="1"/>
  <c r="D179" i="1"/>
  <c r="H179" i="1"/>
  <c r="I179" i="1"/>
  <c r="D49" i="1"/>
  <c r="E49" i="1"/>
  <c r="H49" i="1"/>
  <c r="I49" i="1"/>
  <c r="D114" i="1"/>
  <c r="H114" i="1"/>
  <c r="I114" i="1"/>
  <c r="D167" i="1"/>
  <c r="E167" i="1"/>
  <c r="H167" i="1"/>
  <c r="I167" i="1"/>
  <c r="D71" i="1"/>
  <c r="H71" i="1"/>
  <c r="I71" i="1"/>
  <c r="D122" i="1"/>
  <c r="H122" i="1"/>
  <c r="I122" i="1"/>
  <c r="D181" i="1"/>
  <c r="E181" i="1"/>
  <c r="H181" i="1"/>
  <c r="D205" i="1"/>
  <c r="E205" i="1"/>
  <c r="H205" i="1"/>
  <c r="I205" i="1"/>
  <c r="D206" i="1"/>
  <c r="E206" i="1"/>
  <c r="H206" i="1"/>
  <c r="I206" i="1"/>
  <c r="D207" i="1"/>
  <c r="E207" i="1"/>
  <c r="H207" i="1"/>
  <c r="I207" i="1"/>
  <c r="D219" i="1"/>
  <c r="H219" i="1"/>
  <c r="I219" i="1"/>
  <c r="D220" i="1"/>
  <c r="H220" i="1"/>
  <c r="I220" i="1"/>
  <c r="D213" i="1"/>
  <c r="E213" i="1"/>
  <c r="H213" i="1"/>
  <c r="I213" i="1"/>
  <c r="D209" i="1"/>
  <c r="H209" i="1"/>
  <c r="I209" i="1"/>
  <c r="D210" i="1"/>
  <c r="H210" i="1"/>
  <c r="I210" i="1"/>
  <c r="D214" i="1"/>
  <c r="E214" i="1"/>
  <c r="H214" i="1"/>
  <c r="I214" i="1"/>
  <c r="D215" i="1"/>
  <c r="E215" i="1"/>
  <c r="H215" i="1"/>
  <c r="I215" i="1"/>
  <c r="D211" i="1"/>
  <c r="H211" i="1"/>
  <c r="I211" i="1"/>
  <c r="D217" i="1"/>
  <c r="E217" i="1"/>
  <c r="H217" i="1"/>
  <c r="I217" i="1"/>
  <c r="D218" i="1"/>
  <c r="E218" i="1"/>
  <c r="H218" i="1"/>
  <c r="I218" i="1"/>
  <c r="D221" i="1"/>
  <c r="H221" i="1"/>
  <c r="I221" i="1"/>
  <c r="D222" i="1"/>
  <c r="H222" i="1"/>
  <c r="I222" i="1"/>
  <c r="D223" i="1"/>
  <c r="H223" i="1"/>
  <c r="I223" i="1"/>
  <c r="D208" i="1"/>
  <c r="E208" i="1"/>
  <c r="H208" i="1"/>
  <c r="I208" i="1"/>
  <c r="D240" i="1"/>
  <c r="E240" i="1"/>
  <c r="H240" i="1"/>
  <c r="D224" i="1"/>
  <c r="E224" i="1"/>
  <c r="H224" i="1"/>
  <c r="D225" i="1"/>
  <c r="E225" i="1"/>
  <c r="H225" i="1"/>
  <c r="D216" i="1"/>
  <c r="E216" i="1"/>
  <c r="H216" i="1"/>
  <c r="D234" i="1"/>
  <c r="E234" i="1"/>
  <c r="H234" i="1"/>
  <c r="D236" i="1"/>
  <c r="H236" i="1"/>
  <c r="I236" i="1"/>
  <c r="D230" i="1"/>
  <c r="E230" i="1"/>
  <c r="H230" i="1"/>
  <c r="D231" i="1"/>
  <c r="E231" i="1"/>
  <c r="H231" i="1"/>
  <c r="D232" i="1"/>
  <c r="E232" i="1"/>
  <c r="H232" i="1"/>
  <c r="D233" i="1"/>
  <c r="E233" i="1"/>
  <c r="H233" i="1"/>
  <c r="D237" i="1"/>
  <c r="E237" i="1"/>
  <c r="H237" i="1"/>
  <c r="I237" i="1"/>
  <c r="D238" i="1"/>
  <c r="E238" i="1"/>
  <c r="H238" i="1"/>
  <c r="D239" i="1"/>
  <c r="E239" i="1"/>
  <c r="H239" i="1"/>
  <c r="D235" i="1"/>
  <c r="H235" i="1"/>
  <c r="I235" i="1"/>
  <c r="D227" i="1"/>
  <c r="H227" i="1"/>
  <c r="I227" i="1"/>
  <c r="D228" i="1"/>
  <c r="H228" i="1"/>
  <c r="I228" i="1"/>
  <c r="D229" i="1"/>
  <c r="H229" i="1"/>
  <c r="I229" i="1"/>
  <c r="D212" i="1"/>
  <c r="H212" i="1"/>
  <c r="D226" i="1"/>
  <c r="H226" i="1"/>
  <c r="I226" i="1"/>
  <c r="D203" i="1"/>
  <c r="E203" i="1"/>
  <c r="H203" i="1"/>
  <c r="I203" i="1"/>
  <c r="D202" i="1"/>
  <c r="H202" i="1"/>
  <c r="D204" i="1"/>
  <c r="H204" i="1"/>
  <c r="I204" i="1"/>
  <c r="D254" i="1"/>
  <c r="H254" i="1"/>
  <c r="I254" i="1"/>
  <c r="D255" i="1"/>
  <c r="H255" i="1"/>
  <c r="I255" i="1"/>
  <c r="D284" i="1"/>
  <c r="E284" i="1"/>
  <c r="H284" i="1"/>
  <c r="D248" i="1"/>
  <c r="E248" i="1"/>
  <c r="H248" i="1"/>
  <c r="I248" i="1"/>
  <c r="D256" i="1"/>
  <c r="E256" i="1"/>
  <c r="H256" i="1"/>
  <c r="I256" i="1"/>
  <c r="D249" i="1"/>
  <c r="E249" i="1"/>
  <c r="H249" i="1"/>
  <c r="I249" i="1"/>
  <c r="D274" i="1"/>
  <c r="E274" i="1"/>
  <c r="H274" i="1"/>
  <c r="D275" i="1"/>
  <c r="E275" i="1"/>
  <c r="H275" i="1"/>
  <c r="I275" i="1"/>
  <c r="D276" i="1"/>
  <c r="E276" i="1"/>
  <c r="H276" i="1"/>
  <c r="I276" i="1"/>
  <c r="D260" i="1"/>
  <c r="H260" i="1"/>
  <c r="D261" i="1"/>
  <c r="H261" i="1"/>
  <c r="I261" i="1"/>
  <c r="D285" i="1"/>
  <c r="E285" i="1"/>
  <c r="H285" i="1"/>
  <c r="D277" i="1"/>
  <c r="H277" i="1"/>
  <c r="I277" i="1"/>
  <c r="D278" i="1"/>
  <c r="E278" i="1"/>
  <c r="H278" i="1"/>
  <c r="I278" i="1"/>
  <c r="D279" i="1"/>
  <c r="E279" i="1"/>
  <c r="H279" i="1"/>
  <c r="I279" i="1"/>
  <c r="D252" i="1"/>
  <c r="E252" i="1"/>
  <c r="H252" i="1"/>
  <c r="D280" i="1"/>
  <c r="E280" i="1"/>
  <c r="H280" i="1"/>
  <c r="D271" i="1"/>
  <c r="E271" i="1"/>
  <c r="H271" i="1"/>
  <c r="I271" i="1"/>
  <c r="D263" i="1"/>
  <c r="E263" i="1"/>
  <c r="H263" i="1"/>
  <c r="D257" i="1"/>
  <c r="H257" i="1"/>
  <c r="I257" i="1"/>
  <c r="D272" i="1"/>
  <c r="H272" i="1"/>
  <c r="I272" i="1"/>
  <c r="D241" i="1"/>
  <c r="H241" i="1"/>
  <c r="I241" i="1"/>
  <c r="D273" i="1"/>
  <c r="H273" i="1"/>
  <c r="D258" i="1"/>
  <c r="H258" i="1"/>
  <c r="I258" i="1"/>
  <c r="D264" i="1"/>
  <c r="E264" i="1"/>
  <c r="H264" i="1"/>
  <c r="D253" i="1"/>
  <c r="E253" i="1"/>
  <c r="H253" i="1"/>
  <c r="D265" i="1"/>
  <c r="E265" i="1"/>
  <c r="H265" i="1"/>
  <c r="D266" i="1"/>
  <c r="E266" i="1"/>
  <c r="H266" i="1"/>
  <c r="D245" i="1"/>
  <c r="E245" i="1"/>
  <c r="H245" i="1"/>
  <c r="D246" i="1"/>
  <c r="E246" i="1"/>
  <c r="H246" i="1"/>
  <c r="D247" i="1"/>
  <c r="E247" i="1"/>
  <c r="H247" i="1"/>
  <c r="D242" i="1"/>
  <c r="E242" i="1"/>
  <c r="H242" i="1"/>
  <c r="D267" i="1"/>
  <c r="E267" i="1"/>
  <c r="H267" i="1"/>
  <c r="D243" i="1"/>
  <c r="E243" i="1"/>
  <c r="H243" i="1"/>
  <c r="I243" i="1"/>
  <c r="D244" i="1"/>
  <c r="E244" i="1"/>
  <c r="H244" i="1"/>
  <c r="I244" i="1"/>
  <c r="D251" i="1"/>
  <c r="E251" i="1"/>
  <c r="H251" i="1"/>
  <c r="I251" i="1"/>
  <c r="D259" i="1"/>
  <c r="E259" i="1"/>
  <c r="H259" i="1"/>
  <c r="D269" i="1"/>
  <c r="E269" i="1"/>
  <c r="H269" i="1"/>
  <c r="D250" i="1"/>
  <c r="E250" i="1"/>
  <c r="H250" i="1"/>
  <c r="I250" i="1"/>
  <c r="D281" i="1"/>
  <c r="E281" i="1"/>
  <c r="H281" i="1"/>
  <c r="D282" i="1"/>
  <c r="E282" i="1"/>
  <c r="H282" i="1"/>
  <c r="D268" i="1"/>
  <c r="E268" i="1"/>
  <c r="H268" i="1"/>
  <c r="D283" i="1"/>
  <c r="E283" i="1"/>
  <c r="H283" i="1"/>
  <c r="D270" i="1"/>
  <c r="H270" i="1"/>
  <c r="I270" i="1"/>
  <c r="D262" i="1"/>
  <c r="E262" i="1"/>
  <c r="H262" i="1"/>
  <c r="D481" i="1"/>
  <c r="E481" i="1"/>
  <c r="H481" i="1"/>
  <c r="D482" i="1"/>
  <c r="E482" i="1"/>
  <c r="H482" i="1"/>
  <c r="D478" i="1"/>
  <c r="E478" i="1"/>
  <c r="H478" i="1"/>
  <c r="D338" i="1"/>
  <c r="E338" i="1"/>
  <c r="H338" i="1"/>
  <c r="D444" i="1"/>
  <c r="E444" i="1"/>
  <c r="H444" i="1"/>
  <c r="D445" i="1"/>
  <c r="E445" i="1"/>
  <c r="H445" i="1"/>
  <c r="D404" i="1"/>
  <c r="E404" i="1"/>
  <c r="H404" i="1"/>
  <c r="I404" i="1"/>
  <c r="D405" i="1"/>
  <c r="E405" i="1"/>
  <c r="H405" i="1"/>
  <c r="I405" i="1"/>
  <c r="D446" i="1"/>
  <c r="H446" i="1"/>
  <c r="D495" i="1"/>
  <c r="E495" i="1"/>
  <c r="H495" i="1"/>
  <c r="D496" i="1"/>
  <c r="E496" i="1"/>
  <c r="H496" i="1"/>
  <c r="D447" i="1"/>
  <c r="H447" i="1"/>
  <c r="I447" i="1"/>
  <c r="D448" i="1"/>
  <c r="H448" i="1"/>
  <c r="I448" i="1"/>
  <c r="D449" i="1"/>
  <c r="E449" i="1"/>
  <c r="H449" i="1"/>
  <c r="D450" i="1"/>
  <c r="E450" i="1"/>
  <c r="H450" i="1"/>
  <c r="D497" i="1"/>
  <c r="E497" i="1"/>
  <c r="H497" i="1"/>
  <c r="D451" i="1"/>
  <c r="E451" i="1"/>
  <c r="H451" i="1"/>
  <c r="D498" i="1"/>
  <c r="E498" i="1"/>
  <c r="H498" i="1"/>
  <c r="D452" i="1"/>
  <c r="E452" i="1"/>
  <c r="H452" i="1"/>
  <c r="D453" i="1"/>
  <c r="E453" i="1"/>
  <c r="H453" i="1"/>
  <c r="D499" i="1"/>
  <c r="E499" i="1"/>
  <c r="H499" i="1"/>
  <c r="I499" i="1"/>
  <c r="D286" i="1"/>
  <c r="E286" i="1"/>
  <c r="H286" i="1"/>
  <c r="I286" i="1"/>
  <c r="D316" i="1"/>
  <c r="H316" i="1"/>
  <c r="I316" i="1"/>
  <c r="D337" i="1"/>
  <c r="E337" i="1"/>
  <c r="H337" i="1"/>
  <c r="I337" i="1"/>
  <c r="D454" i="1"/>
  <c r="E454" i="1"/>
  <c r="H454" i="1"/>
  <c r="D340" i="1"/>
  <c r="E340" i="1"/>
  <c r="H340" i="1"/>
  <c r="D287" i="1"/>
  <c r="E287" i="1"/>
  <c r="H287" i="1"/>
  <c r="I287" i="1"/>
  <c r="D291" i="1"/>
  <c r="E291" i="1"/>
  <c r="H291" i="1"/>
  <c r="D317" i="1"/>
  <c r="E317" i="1"/>
  <c r="H317" i="1"/>
  <c r="D433" i="1"/>
  <c r="E433" i="1"/>
  <c r="H433" i="1"/>
  <c r="D292" i="1"/>
  <c r="E292" i="1"/>
  <c r="H292" i="1"/>
  <c r="D288" i="1"/>
  <c r="E288" i="1"/>
  <c r="H288" i="1"/>
  <c r="D341" i="1"/>
  <c r="E341" i="1"/>
  <c r="H341" i="1"/>
  <c r="D354" i="1"/>
  <c r="E354" i="1"/>
  <c r="H354" i="1"/>
  <c r="D355" i="1"/>
  <c r="E355" i="1"/>
  <c r="H355" i="1"/>
  <c r="D356" i="1"/>
  <c r="E356" i="1"/>
  <c r="H356" i="1"/>
  <c r="D357" i="1"/>
  <c r="E357" i="1"/>
  <c r="H357" i="1"/>
  <c r="D358" i="1"/>
  <c r="E358" i="1"/>
  <c r="H358" i="1"/>
  <c r="D359" i="1"/>
  <c r="E359" i="1"/>
  <c r="H359" i="1"/>
  <c r="D342" i="1"/>
  <c r="E342" i="1"/>
  <c r="H342" i="1"/>
  <c r="D343" i="1"/>
  <c r="E343" i="1"/>
  <c r="H343" i="1"/>
  <c r="D344" i="1"/>
  <c r="E344" i="1"/>
  <c r="H344" i="1"/>
  <c r="D345" i="1"/>
  <c r="E345" i="1"/>
  <c r="H345" i="1"/>
  <c r="D346" i="1"/>
  <c r="E346" i="1"/>
  <c r="H346" i="1"/>
  <c r="D347" i="1"/>
  <c r="E347" i="1"/>
  <c r="H347" i="1"/>
  <c r="D360" i="1"/>
  <c r="E360" i="1"/>
  <c r="H360" i="1"/>
  <c r="D289" i="1"/>
  <c r="E289" i="1"/>
  <c r="H289" i="1"/>
  <c r="D434" i="1"/>
  <c r="E434" i="1"/>
  <c r="H434" i="1"/>
  <c r="D435" i="1"/>
  <c r="E435" i="1"/>
  <c r="H435" i="1"/>
  <c r="D361" i="1"/>
  <c r="E361" i="1"/>
  <c r="H361" i="1"/>
  <c r="D362" i="1"/>
  <c r="E362" i="1"/>
  <c r="H362" i="1"/>
  <c r="D310" i="1"/>
  <c r="E310" i="1"/>
  <c r="H310" i="1"/>
  <c r="D311" i="1"/>
  <c r="E311" i="1"/>
  <c r="H311" i="1"/>
  <c r="D312" i="1"/>
  <c r="E312" i="1"/>
  <c r="H312" i="1"/>
  <c r="D293" i="1"/>
  <c r="E293" i="1"/>
  <c r="H293" i="1"/>
  <c r="D313" i="1"/>
  <c r="E313" i="1"/>
  <c r="H313" i="1"/>
  <c r="D294" i="1"/>
  <c r="E294" i="1"/>
  <c r="H294" i="1"/>
  <c r="D348" i="1"/>
  <c r="E348" i="1"/>
  <c r="H348" i="1"/>
  <c r="D363" i="1"/>
  <c r="E363" i="1"/>
  <c r="H363" i="1"/>
  <c r="D314" i="1"/>
  <c r="E314" i="1"/>
  <c r="H314" i="1"/>
  <c r="D315" i="1"/>
  <c r="E315" i="1"/>
  <c r="H315" i="1"/>
  <c r="D290" i="1"/>
  <c r="E290" i="1"/>
  <c r="H290" i="1"/>
  <c r="D367" i="1"/>
  <c r="E367" i="1"/>
  <c r="H367" i="1"/>
  <c r="I367" i="1"/>
  <c r="D479" i="1"/>
  <c r="E479" i="1"/>
  <c r="H479" i="1"/>
  <c r="D480" i="1"/>
  <c r="E480" i="1"/>
  <c r="H480" i="1"/>
  <c r="D406" i="1"/>
  <c r="E406" i="1"/>
  <c r="H406" i="1"/>
  <c r="D407" i="1"/>
  <c r="E407" i="1"/>
  <c r="H407" i="1"/>
  <c r="D408" i="1"/>
  <c r="E408" i="1"/>
  <c r="H408" i="1"/>
  <c r="D409" i="1"/>
  <c r="E409" i="1"/>
  <c r="H409" i="1"/>
  <c r="D410" i="1"/>
  <c r="E410" i="1"/>
  <c r="H410" i="1"/>
  <c r="D411" i="1"/>
  <c r="H411" i="1"/>
  <c r="D412" i="1"/>
  <c r="E412" i="1"/>
  <c r="H412" i="1"/>
  <c r="D413" i="1"/>
  <c r="E413" i="1"/>
  <c r="H413" i="1"/>
  <c r="D414" i="1"/>
  <c r="E414" i="1"/>
  <c r="H414" i="1"/>
  <c r="D415" i="1"/>
  <c r="E415" i="1"/>
  <c r="H415" i="1"/>
  <c r="D416" i="1"/>
  <c r="E416" i="1"/>
  <c r="H416" i="1"/>
  <c r="D417" i="1"/>
  <c r="E417" i="1"/>
  <c r="H417" i="1"/>
  <c r="D418" i="1"/>
  <c r="E418" i="1"/>
  <c r="H418" i="1"/>
  <c r="D419" i="1"/>
  <c r="E419" i="1"/>
  <c r="H419" i="1"/>
  <c r="D420" i="1"/>
  <c r="E420" i="1"/>
  <c r="H420" i="1"/>
  <c r="D421" i="1"/>
  <c r="E421" i="1"/>
  <c r="H421" i="1"/>
  <c r="D422" i="1"/>
  <c r="E422" i="1"/>
  <c r="H422" i="1"/>
  <c r="D423" i="1"/>
  <c r="E423" i="1"/>
  <c r="H423" i="1"/>
  <c r="D424" i="1"/>
  <c r="E424" i="1"/>
  <c r="H424" i="1"/>
  <c r="D425" i="1"/>
  <c r="E425" i="1"/>
  <c r="H425" i="1"/>
  <c r="D426" i="1"/>
  <c r="E426" i="1"/>
  <c r="H426" i="1"/>
  <c r="D427" i="1"/>
  <c r="E427" i="1"/>
  <c r="H427" i="1"/>
  <c r="D428" i="1"/>
  <c r="E428" i="1"/>
  <c r="H428" i="1"/>
  <c r="D429" i="1"/>
  <c r="E429" i="1"/>
  <c r="H429" i="1"/>
  <c r="D430" i="1"/>
  <c r="E430" i="1"/>
  <c r="H430" i="1"/>
  <c r="D431" i="1"/>
  <c r="E431" i="1"/>
  <c r="H431" i="1"/>
  <c r="D432" i="1"/>
  <c r="E432" i="1"/>
  <c r="H432" i="1"/>
  <c r="D364" i="1"/>
  <c r="H364" i="1"/>
  <c r="D365" i="1"/>
  <c r="H365" i="1"/>
  <c r="D368" i="1"/>
  <c r="H368" i="1"/>
  <c r="I368" i="1"/>
  <c r="D436" i="1"/>
  <c r="E436" i="1"/>
  <c r="H436" i="1"/>
  <c r="D437" i="1"/>
  <c r="E437" i="1"/>
  <c r="H437" i="1"/>
  <c r="D369" i="1"/>
  <c r="E369" i="1"/>
  <c r="H369" i="1"/>
  <c r="D455" i="1"/>
  <c r="E455" i="1"/>
  <c r="H455" i="1"/>
  <c r="D456" i="1"/>
  <c r="E456" i="1"/>
  <c r="H456" i="1"/>
  <c r="I456" i="1"/>
  <c r="D457" i="1"/>
  <c r="H457" i="1"/>
  <c r="I457" i="1"/>
  <c r="D458" i="1"/>
  <c r="H458" i="1"/>
  <c r="I458" i="1"/>
  <c r="D438" i="1"/>
  <c r="E438" i="1"/>
  <c r="H438" i="1"/>
  <c r="D459" i="1"/>
  <c r="E459" i="1"/>
  <c r="H459" i="1"/>
  <c r="D370" i="1"/>
  <c r="H370" i="1"/>
  <c r="I370" i="1"/>
  <c r="D460" i="1"/>
  <c r="H460" i="1"/>
  <c r="I460" i="1"/>
  <c r="D371" i="1"/>
  <c r="E371" i="1"/>
  <c r="H371" i="1"/>
  <c r="D372" i="1"/>
  <c r="E372" i="1"/>
  <c r="H372" i="1"/>
  <c r="D439" i="1"/>
  <c r="H439" i="1"/>
  <c r="D440" i="1"/>
  <c r="H440" i="1"/>
  <c r="D441" i="1"/>
  <c r="E441" i="1"/>
  <c r="H441" i="1"/>
  <c r="D442" i="1"/>
  <c r="H442" i="1"/>
  <c r="I442" i="1"/>
  <c r="D373" i="1"/>
  <c r="E373" i="1"/>
  <c r="H373" i="1"/>
  <c r="D374" i="1"/>
  <c r="E374" i="1"/>
  <c r="H374" i="1"/>
  <c r="D375" i="1"/>
  <c r="E375" i="1"/>
  <c r="H375" i="1"/>
  <c r="D443" i="1"/>
  <c r="H443" i="1"/>
  <c r="I443" i="1"/>
  <c r="D376" i="1"/>
  <c r="E376" i="1"/>
  <c r="H376" i="1"/>
  <c r="D377" i="1"/>
  <c r="E377" i="1"/>
  <c r="H377" i="1"/>
  <c r="D378" i="1"/>
  <c r="E378" i="1"/>
  <c r="H378" i="1"/>
  <c r="D379" i="1"/>
  <c r="E379" i="1"/>
  <c r="H379" i="1"/>
  <c r="D380" i="1"/>
  <c r="E380" i="1"/>
  <c r="H380" i="1"/>
  <c r="I380" i="1"/>
  <c r="D381" i="1"/>
  <c r="E381" i="1"/>
  <c r="H381" i="1"/>
  <c r="D382" i="1"/>
  <c r="E382" i="1"/>
  <c r="H382" i="1"/>
  <c r="D383" i="1"/>
  <c r="E383" i="1"/>
  <c r="H383" i="1"/>
  <c r="D384" i="1"/>
  <c r="E384" i="1"/>
  <c r="H384" i="1"/>
  <c r="D385" i="1"/>
  <c r="H385" i="1"/>
  <c r="D386" i="1"/>
  <c r="H386" i="1"/>
  <c r="D387" i="1"/>
  <c r="H387" i="1"/>
  <c r="D388" i="1"/>
  <c r="H388" i="1"/>
  <c r="I388" i="1"/>
  <c r="D461" i="1"/>
  <c r="E461" i="1"/>
  <c r="H461" i="1"/>
  <c r="D462" i="1"/>
  <c r="E462" i="1"/>
  <c r="H462" i="1"/>
  <c r="D463" i="1"/>
  <c r="E463" i="1"/>
  <c r="H463" i="1"/>
  <c r="D318" i="1"/>
  <c r="E318" i="1"/>
  <c r="H318" i="1"/>
  <c r="D319" i="1"/>
  <c r="E319" i="1"/>
  <c r="H319" i="1"/>
  <c r="D295" i="1"/>
  <c r="H295" i="1"/>
  <c r="I295" i="1"/>
  <c r="D464" i="1"/>
  <c r="H464" i="1"/>
  <c r="I464" i="1"/>
  <c r="D320" i="1"/>
  <c r="E320" i="1"/>
  <c r="H320" i="1"/>
  <c r="D321" i="1"/>
  <c r="E321" i="1"/>
  <c r="H321" i="1"/>
  <c r="D465" i="1"/>
  <c r="E465" i="1"/>
  <c r="H465" i="1"/>
  <c r="D389" i="1"/>
  <c r="H389" i="1"/>
  <c r="I389" i="1"/>
  <c r="D483" i="1"/>
  <c r="E483" i="1"/>
  <c r="H483" i="1"/>
  <c r="D322" i="1"/>
  <c r="E322" i="1"/>
  <c r="H322" i="1"/>
  <c r="D484" i="1"/>
  <c r="E484" i="1"/>
  <c r="H484" i="1"/>
  <c r="D390" i="1"/>
  <c r="E390" i="1"/>
  <c r="H390" i="1"/>
  <c r="D296" i="1"/>
  <c r="E296" i="1"/>
  <c r="H296" i="1"/>
  <c r="D466" i="1"/>
  <c r="E466" i="1"/>
  <c r="H466" i="1"/>
  <c r="D297" i="1"/>
  <c r="E297" i="1"/>
  <c r="H297" i="1"/>
  <c r="D485" i="1"/>
  <c r="H485" i="1"/>
  <c r="I485" i="1"/>
  <c r="D298" i="1"/>
  <c r="H298" i="1"/>
  <c r="I298" i="1"/>
  <c r="D299" i="1"/>
  <c r="H299" i="1"/>
  <c r="I299" i="1"/>
  <c r="D323" i="1"/>
  <c r="E323" i="1"/>
  <c r="H323" i="1"/>
  <c r="D324" i="1"/>
  <c r="H324" i="1"/>
  <c r="I324" i="1"/>
  <c r="D486" i="1"/>
  <c r="E486" i="1"/>
  <c r="H486" i="1"/>
  <c r="D300" i="1"/>
  <c r="H300" i="1"/>
  <c r="I300" i="1"/>
  <c r="D349" i="1"/>
  <c r="E349" i="1"/>
  <c r="H349" i="1"/>
  <c r="D301" i="1"/>
  <c r="H301" i="1"/>
  <c r="I301" i="1"/>
  <c r="D302" i="1"/>
  <c r="H302" i="1"/>
  <c r="I302" i="1"/>
  <c r="D325" i="1"/>
  <c r="H325" i="1"/>
  <c r="I325" i="1"/>
  <c r="D487" i="1"/>
  <c r="E487" i="1"/>
  <c r="H487" i="1"/>
  <c r="D391" i="1"/>
  <c r="E391" i="1"/>
  <c r="H391" i="1"/>
  <c r="D326" i="1"/>
  <c r="E326" i="1"/>
  <c r="H326" i="1"/>
  <c r="D392" i="1"/>
  <c r="E392" i="1"/>
  <c r="H392" i="1"/>
  <c r="I392" i="1"/>
  <c r="D488" i="1"/>
  <c r="E488" i="1"/>
  <c r="H488" i="1"/>
  <c r="D327" i="1"/>
  <c r="E327" i="1"/>
  <c r="H327" i="1"/>
  <c r="D489" i="1"/>
  <c r="E489" i="1"/>
  <c r="H489" i="1"/>
  <c r="D339" i="1"/>
  <c r="H339" i="1"/>
  <c r="D467" i="1"/>
  <c r="E467" i="1"/>
  <c r="H467" i="1"/>
  <c r="D393" i="1"/>
  <c r="E393" i="1"/>
  <c r="H393" i="1"/>
  <c r="D328" i="1"/>
  <c r="E328" i="1"/>
  <c r="H328" i="1"/>
  <c r="D329" i="1"/>
  <c r="E329" i="1"/>
  <c r="H329" i="1"/>
  <c r="D303" i="1"/>
  <c r="H303" i="1"/>
  <c r="I303" i="1"/>
  <c r="D350" i="1"/>
  <c r="H350" i="1"/>
  <c r="I350" i="1"/>
  <c r="D468" i="1"/>
  <c r="E468" i="1"/>
  <c r="H468" i="1"/>
  <c r="D330" i="1"/>
  <c r="E330" i="1"/>
  <c r="H330" i="1"/>
  <c r="D394" i="1"/>
  <c r="E394" i="1"/>
  <c r="H394" i="1"/>
  <c r="D490" i="1"/>
  <c r="E490" i="1"/>
  <c r="H490" i="1"/>
  <c r="D491" i="1"/>
  <c r="E491" i="1"/>
  <c r="H491" i="1"/>
  <c r="D331" i="1"/>
  <c r="H331" i="1"/>
  <c r="D469" i="1"/>
  <c r="E469" i="1"/>
  <c r="H469" i="1"/>
  <c r="D492" i="1"/>
  <c r="E492" i="1"/>
  <c r="H492" i="1"/>
  <c r="D470" i="1"/>
  <c r="H470" i="1"/>
  <c r="I470" i="1"/>
  <c r="D493" i="1"/>
  <c r="E493" i="1"/>
  <c r="H493" i="1"/>
  <c r="D304" i="1"/>
  <c r="H304" i="1"/>
  <c r="I304" i="1"/>
  <c r="D305" i="1"/>
  <c r="E305" i="1"/>
  <c r="H305" i="1"/>
  <c r="D351" i="1"/>
  <c r="H351" i="1"/>
  <c r="I351" i="1"/>
  <c r="D471" i="1"/>
  <c r="H471" i="1"/>
  <c r="I471" i="1"/>
  <c r="D395" i="1"/>
  <c r="E395" i="1"/>
  <c r="H395" i="1"/>
  <c r="D332" i="1"/>
  <c r="H332" i="1"/>
  <c r="I332" i="1"/>
  <c r="D352" i="1"/>
  <c r="E352" i="1"/>
  <c r="H352" i="1"/>
  <c r="D366" i="1"/>
  <c r="E366" i="1"/>
  <c r="H366" i="1"/>
  <c r="D353" i="1"/>
  <c r="E353" i="1"/>
  <c r="H353" i="1"/>
  <c r="D396" i="1"/>
  <c r="E396" i="1"/>
  <c r="H396" i="1"/>
  <c r="D397" i="1"/>
  <c r="E397" i="1"/>
  <c r="H397" i="1"/>
  <c r="D398" i="1"/>
  <c r="H398" i="1"/>
  <c r="I398" i="1"/>
  <c r="D399" i="1"/>
  <c r="E399" i="1"/>
  <c r="H399" i="1"/>
  <c r="D472" i="1"/>
  <c r="E472" i="1"/>
  <c r="H472" i="1"/>
  <c r="D473" i="1"/>
  <c r="E473" i="1"/>
  <c r="H473" i="1"/>
  <c r="D474" i="1"/>
  <c r="E474" i="1"/>
  <c r="H474" i="1"/>
  <c r="D333" i="1"/>
  <c r="E333" i="1"/>
  <c r="H333" i="1"/>
  <c r="D400" i="1"/>
  <c r="E400" i="1"/>
  <c r="H400" i="1"/>
  <c r="D475" i="1"/>
  <c r="E475" i="1"/>
  <c r="H475" i="1"/>
  <c r="D476" i="1"/>
  <c r="E476" i="1"/>
  <c r="H476" i="1"/>
  <c r="D494" i="1"/>
  <c r="E494" i="1"/>
  <c r="H494" i="1"/>
  <c r="D306" i="1"/>
  <c r="E306" i="1"/>
  <c r="H306" i="1"/>
  <c r="D401" i="1"/>
  <c r="E401" i="1"/>
  <c r="H401" i="1"/>
  <c r="D334" i="1"/>
  <c r="E334" i="1"/>
  <c r="H334" i="1"/>
  <c r="D335" i="1"/>
  <c r="E335" i="1"/>
  <c r="H335" i="1"/>
  <c r="D402" i="1"/>
  <c r="E402" i="1"/>
  <c r="H402" i="1"/>
  <c r="D307" i="1"/>
  <c r="E307" i="1"/>
  <c r="H307" i="1"/>
  <c r="D336" i="1"/>
  <c r="E336" i="1"/>
  <c r="H336" i="1"/>
  <c r="D308" i="1"/>
  <c r="E308" i="1"/>
  <c r="H308" i="1"/>
  <c r="D403" i="1"/>
  <c r="E403" i="1"/>
  <c r="H403" i="1"/>
  <c r="D477" i="1"/>
  <c r="E477" i="1"/>
  <c r="H477" i="1"/>
  <c r="D309" i="1"/>
  <c r="E309" i="1"/>
  <c r="H309" i="1"/>
  <c r="D500" i="1"/>
  <c r="E500" i="1"/>
  <c r="H500" i="1"/>
  <c r="I500" i="1"/>
  <c r="D526" i="1"/>
  <c r="E526" i="1"/>
  <c r="H526" i="1"/>
  <c r="I526" i="1"/>
  <c r="D501" i="1"/>
  <c r="H501" i="1"/>
  <c r="I501" i="1"/>
  <c r="D502" i="1"/>
  <c r="E502" i="1"/>
  <c r="H502" i="1"/>
  <c r="D503" i="1"/>
  <c r="E503" i="1"/>
  <c r="H503" i="1"/>
  <c r="D504" i="1"/>
  <c r="E504" i="1"/>
  <c r="H504" i="1"/>
  <c r="D519" i="1"/>
  <c r="H519" i="1"/>
  <c r="I519" i="1"/>
  <c r="D518" i="1"/>
  <c r="E518" i="1"/>
  <c r="H518" i="1"/>
  <c r="I518" i="1"/>
  <c r="D525" i="1"/>
  <c r="E525" i="1"/>
  <c r="H525" i="1"/>
  <c r="I525" i="1"/>
  <c r="D505" i="1"/>
  <c r="H505" i="1"/>
  <c r="I505" i="1"/>
  <c r="D520" i="1"/>
  <c r="E520" i="1"/>
  <c r="H520" i="1"/>
  <c r="D521" i="1"/>
  <c r="H521" i="1"/>
  <c r="D529" i="1"/>
  <c r="H529" i="1"/>
  <c r="I529" i="1"/>
  <c r="D506" i="1"/>
  <c r="E506" i="1"/>
  <c r="H506" i="1"/>
  <c r="D530" i="1"/>
  <c r="E530" i="1"/>
  <c r="H530" i="1"/>
  <c r="D532" i="1"/>
  <c r="E532" i="1"/>
  <c r="H532" i="1"/>
  <c r="D522" i="1"/>
  <c r="H522" i="1"/>
  <c r="I522" i="1"/>
  <c r="D507" i="1"/>
  <c r="H507" i="1"/>
  <c r="I507" i="1"/>
  <c r="D516" i="1"/>
  <c r="H516" i="1"/>
  <c r="I516" i="1"/>
  <c r="D517" i="1"/>
  <c r="E517" i="1"/>
  <c r="H517" i="1"/>
  <c r="I517" i="1"/>
  <c r="D511" i="1"/>
  <c r="E511" i="1"/>
  <c r="H511" i="1"/>
  <c r="I511" i="1"/>
  <c r="D508" i="1"/>
  <c r="E508" i="1"/>
  <c r="H508" i="1"/>
  <c r="I508" i="1"/>
  <c r="D509" i="1"/>
  <c r="E509" i="1"/>
  <c r="H509" i="1"/>
  <c r="I509" i="1"/>
  <c r="D510" i="1"/>
  <c r="E510" i="1"/>
  <c r="H510" i="1"/>
  <c r="D512" i="1"/>
  <c r="H512" i="1"/>
  <c r="I512" i="1"/>
  <c r="D523" i="1"/>
  <c r="E523" i="1"/>
  <c r="H523" i="1"/>
  <c r="D513" i="1"/>
  <c r="E513" i="1"/>
  <c r="H513" i="1"/>
  <c r="D514" i="1"/>
  <c r="E514" i="1"/>
  <c r="H514" i="1"/>
  <c r="I514" i="1"/>
  <c r="D524" i="1"/>
  <c r="H524" i="1"/>
  <c r="I524" i="1"/>
  <c r="D527" i="1"/>
  <c r="E527" i="1"/>
  <c r="H527" i="1"/>
  <c r="I527" i="1"/>
  <c r="D531" i="1"/>
  <c r="E531" i="1"/>
  <c r="H531" i="1"/>
  <c r="I531" i="1"/>
  <c r="D515" i="1"/>
  <c r="E515" i="1"/>
  <c r="H515" i="1"/>
  <c r="I515" i="1"/>
  <c r="D528" i="1"/>
  <c r="E528" i="1"/>
  <c r="H528" i="1"/>
  <c r="D545" i="1"/>
  <c r="H545" i="1"/>
  <c r="I545" i="1"/>
  <c r="D535" i="1"/>
  <c r="E535" i="1"/>
  <c r="H535" i="1"/>
  <c r="I535" i="1"/>
  <c r="D536" i="1"/>
  <c r="E536" i="1"/>
  <c r="H536" i="1"/>
  <c r="I536" i="1"/>
  <c r="D537" i="1"/>
  <c r="E537" i="1"/>
  <c r="H537" i="1"/>
  <c r="I537" i="1"/>
  <c r="D540" i="1"/>
  <c r="E540" i="1"/>
  <c r="H540" i="1"/>
  <c r="D538" i="1"/>
  <c r="E538" i="1"/>
  <c r="H538" i="1"/>
  <c r="D544" i="1"/>
  <c r="H544" i="1"/>
  <c r="I544" i="1"/>
  <c r="D542" i="1"/>
  <c r="E542" i="1"/>
  <c r="H542" i="1"/>
  <c r="D534" i="1"/>
  <c r="E534" i="1"/>
  <c r="H534" i="1"/>
  <c r="D541" i="1"/>
  <c r="E541" i="1"/>
  <c r="H541" i="1"/>
  <c r="D533" i="1"/>
  <c r="E533" i="1"/>
  <c r="H533" i="1"/>
  <c r="D539" i="1"/>
  <c r="E539" i="1"/>
  <c r="H539" i="1"/>
  <c r="D543" i="1"/>
  <c r="E543" i="1"/>
  <c r="H543" i="1"/>
  <c r="D546" i="1"/>
  <c r="E546" i="1"/>
  <c r="H546" i="1"/>
  <c r="D547" i="1"/>
  <c r="E547" i="1"/>
  <c r="H547" i="1"/>
  <c r="D548" i="1"/>
  <c r="E548" i="1"/>
  <c r="H548" i="1"/>
  <c r="I548" i="1"/>
  <c r="D562" i="1"/>
  <c r="H562" i="1"/>
  <c r="I562" i="1"/>
  <c r="D557" i="1"/>
  <c r="E557" i="1"/>
  <c r="H557" i="1"/>
  <c r="I557" i="1"/>
  <c r="D558" i="1"/>
  <c r="E558" i="1"/>
  <c r="H558" i="1"/>
  <c r="I558" i="1"/>
  <c r="D563" i="1"/>
  <c r="E563" i="1"/>
  <c r="H563" i="1"/>
  <c r="I563" i="1"/>
  <c r="D564" i="1"/>
  <c r="E564" i="1"/>
  <c r="H564" i="1"/>
  <c r="I564" i="1"/>
  <c r="D599" i="1"/>
  <c r="H599" i="1"/>
  <c r="I599" i="1"/>
  <c r="D631" i="1"/>
  <c r="E631" i="1"/>
  <c r="H631" i="1"/>
  <c r="D660" i="1"/>
  <c r="E660" i="1"/>
  <c r="H660" i="1"/>
  <c r="I660" i="1"/>
  <c r="D578" i="1"/>
  <c r="E578" i="1"/>
  <c r="H578" i="1"/>
  <c r="I578" i="1"/>
  <c r="D550" i="1"/>
  <c r="E550" i="1"/>
  <c r="H550" i="1"/>
  <c r="D635" i="1"/>
  <c r="E635" i="1"/>
  <c r="H635" i="1"/>
  <c r="I635" i="1"/>
  <c r="D568" i="1"/>
  <c r="E568" i="1"/>
  <c r="H568" i="1"/>
  <c r="D613" i="1"/>
  <c r="E613" i="1"/>
  <c r="H613" i="1"/>
  <c r="D579" i="1"/>
  <c r="E579" i="1"/>
  <c r="H579" i="1"/>
  <c r="D636" i="1"/>
  <c r="E636" i="1"/>
  <c r="H636" i="1"/>
  <c r="D622" i="1"/>
  <c r="E622" i="1"/>
  <c r="H622" i="1"/>
  <c r="I622" i="1"/>
  <c r="D623" i="1"/>
  <c r="E623" i="1"/>
  <c r="H623" i="1"/>
  <c r="I623" i="1"/>
  <c r="D612" i="1"/>
  <c r="E612" i="1"/>
  <c r="H612" i="1"/>
  <c r="D601" i="1"/>
  <c r="E601" i="1"/>
  <c r="H601" i="1"/>
  <c r="I601" i="1"/>
  <c r="D642" i="1"/>
  <c r="E642" i="1"/>
  <c r="H642" i="1"/>
  <c r="D637" i="1"/>
  <c r="E637" i="1"/>
  <c r="H637" i="1"/>
  <c r="D626" i="1"/>
  <c r="H626" i="1"/>
  <c r="I626" i="1"/>
  <c r="D638" i="1"/>
  <c r="E638" i="1"/>
  <c r="H638" i="1"/>
  <c r="D639" i="1"/>
  <c r="E639" i="1"/>
  <c r="H639" i="1"/>
  <c r="I639" i="1"/>
  <c r="D627" i="1"/>
  <c r="H627" i="1"/>
  <c r="I627" i="1"/>
  <c r="D640" i="1"/>
  <c r="E640" i="1"/>
  <c r="H640" i="1"/>
  <c r="D573" i="1"/>
  <c r="E573" i="1"/>
  <c r="H573" i="1"/>
  <c r="I573" i="1"/>
  <c r="D580" i="1"/>
  <c r="E580" i="1"/>
  <c r="H580" i="1"/>
  <c r="I580" i="1"/>
  <c r="D654" i="1"/>
  <c r="E654" i="1"/>
  <c r="H654" i="1"/>
  <c r="D565" i="1"/>
  <c r="E565" i="1"/>
  <c r="H565" i="1"/>
  <c r="D611" i="1"/>
  <c r="H611" i="1"/>
  <c r="I611" i="1"/>
  <c r="D643" i="1"/>
  <c r="E643" i="1"/>
  <c r="H643" i="1"/>
  <c r="D605" i="1"/>
  <c r="E605" i="1"/>
  <c r="H605" i="1"/>
  <c r="D606" i="1"/>
  <c r="E606" i="1"/>
  <c r="H606" i="1"/>
  <c r="D607" i="1"/>
  <c r="E607" i="1"/>
  <c r="H607" i="1"/>
  <c r="D608" i="1"/>
  <c r="E608" i="1"/>
  <c r="H608" i="1"/>
  <c r="D609" i="1"/>
  <c r="E609" i="1"/>
  <c r="H609" i="1"/>
  <c r="D610" i="1"/>
  <c r="E610" i="1"/>
  <c r="H610" i="1"/>
  <c r="D588" i="1"/>
  <c r="E588" i="1"/>
  <c r="H588" i="1"/>
  <c r="D644" i="1"/>
  <c r="E644" i="1"/>
  <c r="H644" i="1"/>
  <c r="D551" i="1"/>
  <c r="H551" i="1"/>
  <c r="I551" i="1"/>
  <c r="D552" i="1"/>
  <c r="H552" i="1"/>
  <c r="I552" i="1"/>
  <c r="D553" i="1"/>
  <c r="H553" i="1"/>
  <c r="D554" i="1"/>
  <c r="E554" i="1"/>
  <c r="H554" i="1"/>
  <c r="D619" i="1"/>
  <c r="H619" i="1"/>
  <c r="D581" i="1"/>
  <c r="H581" i="1"/>
  <c r="D632" i="1"/>
  <c r="H632" i="1"/>
  <c r="I632" i="1"/>
  <c r="D628" i="1"/>
  <c r="H628" i="1"/>
  <c r="D566" i="1"/>
  <c r="H566" i="1"/>
  <c r="D582" i="1"/>
  <c r="H582" i="1"/>
  <c r="I582" i="1"/>
  <c r="D569" i="1"/>
  <c r="H569" i="1"/>
  <c r="D570" i="1"/>
  <c r="H570" i="1"/>
  <c r="D571" i="1"/>
  <c r="H571" i="1"/>
  <c r="D572" i="1"/>
  <c r="H572" i="1"/>
  <c r="D574" i="1"/>
  <c r="H574" i="1"/>
  <c r="I574" i="1"/>
  <c r="D575" i="1"/>
  <c r="H575" i="1"/>
  <c r="I575" i="1"/>
  <c r="D624" i="1"/>
  <c r="E624" i="1"/>
  <c r="H624" i="1"/>
  <c r="D555" i="1"/>
  <c r="E555" i="1"/>
  <c r="H555" i="1"/>
  <c r="D620" i="1"/>
  <c r="H620" i="1"/>
  <c r="I620" i="1"/>
  <c r="D629" i="1"/>
  <c r="H629" i="1"/>
  <c r="I629" i="1"/>
  <c r="D602" i="1"/>
  <c r="H602" i="1"/>
  <c r="I602" i="1"/>
  <c r="D625" i="1"/>
  <c r="E625" i="1"/>
  <c r="H625" i="1"/>
  <c r="D641" i="1"/>
  <c r="E641" i="1"/>
  <c r="H641" i="1"/>
  <c r="I641" i="1"/>
  <c r="D556" i="1"/>
  <c r="H556" i="1"/>
  <c r="I556" i="1"/>
  <c r="D655" i="1"/>
  <c r="E655" i="1"/>
  <c r="H655" i="1"/>
  <c r="D600" i="1"/>
  <c r="E600" i="1"/>
  <c r="H600" i="1"/>
  <c r="D577" i="1"/>
  <c r="H577" i="1"/>
  <c r="I577" i="1"/>
  <c r="D583" i="1"/>
  <c r="E583" i="1"/>
  <c r="H583" i="1"/>
  <c r="D603" i="1"/>
  <c r="H603" i="1"/>
  <c r="I603" i="1"/>
  <c r="D589" i="1"/>
  <c r="H589" i="1"/>
  <c r="I589" i="1"/>
  <c r="D590" i="1"/>
  <c r="H590" i="1"/>
  <c r="I590" i="1"/>
  <c r="D656" i="1"/>
  <c r="H656" i="1"/>
  <c r="I656" i="1"/>
  <c r="D657" i="1"/>
  <c r="H657" i="1"/>
  <c r="I657" i="1"/>
  <c r="D591" i="1"/>
  <c r="H591" i="1"/>
  <c r="I591" i="1"/>
  <c r="D592" i="1"/>
  <c r="H592" i="1"/>
  <c r="I592" i="1"/>
  <c r="D593" i="1"/>
  <c r="H593" i="1"/>
  <c r="I593" i="1"/>
  <c r="D594" i="1"/>
  <c r="H594" i="1"/>
  <c r="I594" i="1"/>
  <c r="D595" i="1"/>
  <c r="H595" i="1"/>
  <c r="I595" i="1"/>
  <c r="D633" i="1"/>
  <c r="E633" i="1"/>
  <c r="H633" i="1"/>
  <c r="D604" i="1"/>
  <c r="H604" i="1"/>
  <c r="I604" i="1"/>
  <c r="D596" i="1"/>
  <c r="E596" i="1"/>
  <c r="H596" i="1"/>
  <c r="D597" i="1"/>
  <c r="H597" i="1"/>
  <c r="I597" i="1"/>
  <c r="D584" i="1"/>
  <c r="E584" i="1"/>
  <c r="H584" i="1"/>
  <c r="I584" i="1"/>
  <c r="D634" i="1"/>
  <c r="H634" i="1"/>
  <c r="I634" i="1"/>
  <c r="D645" i="1"/>
  <c r="H645" i="1"/>
  <c r="I645" i="1"/>
  <c r="D646" i="1"/>
  <c r="H646" i="1"/>
  <c r="I646" i="1"/>
  <c r="D585" i="1"/>
  <c r="E585" i="1"/>
  <c r="H585" i="1"/>
  <c r="D586" i="1"/>
  <c r="E586" i="1"/>
  <c r="H586" i="1"/>
  <c r="D587" i="1"/>
  <c r="E587" i="1"/>
  <c r="H587" i="1"/>
  <c r="D598" i="1"/>
  <c r="H598" i="1"/>
  <c r="I598" i="1"/>
  <c r="D567" i="1"/>
  <c r="E567" i="1"/>
  <c r="H567" i="1"/>
  <c r="D630" i="1"/>
  <c r="H630" i="1"/>
  <c r="I630" i="1"/>
  <c r="D647" i="1"/>
  <c r="H647" i="1"/>
  <c r="I647" i="1"/>
  <c r="D559" i="1"/>
  <c r="E559" i="1"/>
  <c r="H559" i="1"/>
  <c r="D561" i="1"/>
  <c r="E561" i="1"/>
  <c r="H561" i="1"/>
  <c r="D614" i="1"/>
  <c r="E614" i="1"/>
  <c r="H614" i="1"/>
  <c r="D648" i="1"/>
  <c r="E648" i="1"/>
  <c r="H648" i="1"/>
  <c r="D649" i="1"/>
  <c r="E649" i="1"/>
  <c r="H649" i="1"/>
  <c r="D650" i="1"/>
  <c r="E650" i="1"/>
  <c r="H650" i="1"/>
  <c r="D651" i="1"/>
  <c r="E651" i="1"/>
  <c r="H651" i="1"/>
  <c r="D652" i="1"/>
  <c r="E652" i="1"/>
  <c r="H652" i="1"/>
  <c r="D658" i="1"/>
  <c r="E658" i="1"/>
  <c r="H658" i="1"/>
  <c r="D615" i="1"/>
  <c r="E615" i="1"/>
  <c r="H615" i="1"/>
  <c r="D616" i="1"/>
  <c r="E616" i="1"/>
  <c r="H616" i="1"/>
  <c r="D617" i="1"/>
  <c r="E617" i="1"/>
  <c r="H617" i="1"/>
  <c r="D618" i="1"/>
  <c r="E618" i="1"/>
  <c r="H618" i="1"/>
  <c r="D621" i="1"/>
  <c r="E621" i="1"/>
  <c r="H621" i="1"/>
  <c r="I621" i="1"/>
  <c r="D576" i="1"/>
  <c r="E576" i="1"/>
  <c r="H576" i="1"/>
  <c r="D659" i="1"/>
  <c r="E659" i="1"/>
  <c r="H659" i="1"/>
  <c r="D653" i="1"/>
  <c r="H653" i="1"/>
  <c r="D560" i="1"/>
  <c r="E560" i="1"/>
  <c r="H560" i="1"/>
  <c r="D549" i="1"/>
  <c r="E549" i="1"/>
  <c r="H549" i="1"/>
  <c r="I549" i="1"/>
  <c r="D705" i="1"/>
  <c r="E705" i="1"/>
  <c r="H705" i="1"/>
  <c r="I705" i="1"/>
  <c r="D706" i="1"/>
  <c r="H706" i="1"/>
  <c r="D677" i="1"/>
  <c r="E677" i="1"/>
  <c r="H677" i="1"/>
  <c r="I677" i="1"/>
  <c r="D678" i="1"/>
  <c r="E678" i="1"/>
  <c r="H678" i="1"/>
  <c r="I678" i="1"/>
  <c r="D707" i="1"/>
  <c r="E707" i="1"/>
  <c r="H707" i="1"/>
  <c r="D708" i="1"/>
  <c r="E708" i="1"/>
  <c r="H708" i="1"/>
  <c r="D709" i="1"/>
  <c r="E709" i="1"/>
  <c r="H709" i="1"/>
  <c r="D710" i="1"/>
  <c r="E710" i="1"/>
  <c r="H710" i="1"/>
  <c r="D711" i="1"/>
  <c r="E711" i="1"/>
  <c r="H711" i="1"/>
  <c r="D712" i="1"/>
  <c r="E712" i="1"/>
  <c r="H712" i="1"/>
  <c r="D713" i="1"/>
  <c r="E713" i="1"/>
  <c r="H713" i="1"/>
  <c r="D672" i="1"/>
  <c r="E672" i="1"/>
  <c r="H672" i="1"/>
  <c r="D661" i="1"/>
  <c r="E661" i="1"/>
  <c r="H661" i="1"/>
  <c r="D666" i="1"/>
  <c r="E666" i="1"/>
  <c r="H666" i="1"/>
  <c r="D662" i="1"/>
  <c r="H662" i="1"/>
  <c r="I662" i="1"/>
  <c r="D686" i="1"/>
  <c r="H686" i="1"/>
  <c r="I686" i="1"/>
  <c r="D671" i="1"/>
  <c r="H671" i="1"/>
  <c r="I671" i="1"/>
  <c r="D673" i="1"/>
  <c r="E673" i="1"/>
  <c r="H673" i="1"/>
  <c r="D663" i="1"/>
  <c r="E663" i="1"/>
  <c r="H663" i="1"/>
  <c r="I663" i="1"/>
  <c r="D664" i="1"/>
  <c r="E664" i="1"/>
  <c r="H664" i="1"/>
  <c r="I664" i="1"/>
  <c r="D714" i="1"/>
  <c r="E714" i="1"/>
  <c r="H714" i="1"/>
  <c r="D715" i="1"/>
  <c r="E715" i="1"/>
  <c r="H715" i="1"/>
  <c r="D676" i="1"/>
  <c r="H676" i="1"/>
  <c r="D692" i="1"/>
  <c r="E692" i="1"/>
  <c r="H692" i="1"/>
  <c r="D693" i="1"/>
  <c r="E693" i="1"/>
  <c r="H693" i="1"/>
  <c r="D694" i="1"/>
  <c r="E694" i="1"/>
  <c r="H694" i="1"/>
  <c r="I694" i="1"/>
  <c r="D669" i="1"/>
  <c r="E669" i="1"/>
  <c r="H669" i="1"/>
  <c r="I669" i="1"/>
  <c r="D700" i="1"/>
  <c r="E700" i="1"/>
  <c r="H700" i="1"/>
  <c r="I700" i="1"/>
  <c r="D674" i="1"/>
  <c r="H674" i="1"/>
  <c r="I674" i="1"/>
  <c r="D675" i="1"/>
  <c r="H675" i="1"/>
  <c r="I675" i="1"/>
  <c r="D701" i="1"/>
  <c r="E701" i="1"/>
  <c r="H701" i="1"/>
  <c r="I701" i="1"/>
  <c r="D702" i="1"/>
  <c r="H702" i="1"/>
  <c r="I702" i="1"/>
  <c r="D667" i="1"/>
  <c r="E667" i="1"/>
  <c r="H667" i="1"/>
  <c r="I667" i="1"/>
  <c r="D683" i="1"/>
  <c r="E683" i="1"/>
  <c r="H683" i="1"/>
  <c r="I683" i="1"/>
  <c r="D689" i="1"/>
  <c r="E689" i="1"/>
  <c r="H689" i="1"/>
  <c r="I689" i="1"/>
  <c r="D690" i="1"/>
  <c r="H690" i="1"/>
  <c r="I690" i="1"/>
  <c r="D697" i="1"/>
  <c r="E697" i="1"/>
  <c r="H697" i="1"/>
  <c r="D698" i="1"/>
  <c r="H698" i="1"/>
  <c r="I698" i="1"/>
  <c r="D699" i="1"/>
  <c r="E699" i="1"/>
  <c r="H699" i="1"/>
  <c r="I699" i="1"/>
  <c r="D684" i="1"/>
  <c r="E684" i="1"/>
  <c r="H684" i="1"/>
  <c r="D685" i="1"/>
  <c r="E685" i="1"/>
  <c r="H685" i="1"/>
  <c r="D703" i="1"/>
  <c r="H703" i="1"/>
  <c r="D688" i="1"/>
  <c r="E688" i="1"/>
  <c r="H688" i="1"/>
  <c r="I688" i="1"/>
  <c r="D679" i="1"/>
  <c r="H679" i="1"/>
  <c r="I679" i="1"/>
  <c r="D680" i="1"/>
  <c r="H680" i="1"/>
  <c r="I680" i="1"/>
  <c r="D681" i="1"/>
  <c r="H681" i="1"/>
  <c r="I681" i="1"/>
  <c r="D682" i="1"/>
  <c r="H682" i="1"/>
  <c r="I682" i="1"/>
  <c r="D670" i="1"/>
  <c r="E670" i="1"/>
  <c r="H670" i="1"/>
  <c r="I670" i="1"/>
  <c r="D691" i="1"/>
  <c r="H691" i="1"/>
  <c r="I691" i="1"/>
  <c r="D704" i="1"/>
  <c r="H704" i="1"/>
  <c r="I704" i="1"/>
  <c r="D668" i="1"/>
  <c r="H668" i="1"/>
  <c r="I668" i="1"/>
  <c r="D665" i="1"/>
  <c r="H665" i="1"/>
  <c r="I665" i="1"/>
  <c r="D687" i="1"/>
  <c r="E687" i="1"/>
  <c r="H687" i="1"/>
  <c r="I687" i="1"/>
  <c r="D695" i="1"/>
  <c r="E695" i="1"/>
  <c r="H695" i="1"/>
  <c r="I695" i="1"/>
  <c r="D696" i="1"/>
  <c r="E696" i="1"/>
  <c r="H696" i="1"/>
  <c r="I696" i="1"/>
  <c r="D716" i="1"/>
  <c r="E716" i="1"/>
  <c r="H716" i="1"/>
  <c r="I716" i="1"/>
  <c r="D717" i="1"/>
  <c r="E717" i="1"/>
  <c r="H717" i="1"/>
  <c r="D718" i="1"/>
  <c r="H718" i="1"/>
  <c r="I718" i="1"/>
  <c r="D754" i="1"/>
  <c r="H754" i="1"/>
  <c r="I754" i="1"/>
  <c r="D753" i="1"/>
  <c r="E753" i="1"/>
  <c r="H753" i="1"/>
  <c r="D752" i="1"/>
  <c r="H752" i="1"/>
  <c r="I752" i="1"/>
  <c r="D746" i="1"/>
  <c r="H746" i="1"/>
  <c r="I746" i="1"/>
  <c r="D738" i="1"/>
  <c r="E738" i="1"/>
  <c r="H738" i="1"/>
  <c r="D747" i="1"/>
  <c r="H747" i="1"/>
  <c r="I747" i="1"/>
  <c r="D742" i="1"/>
  <c r="E742" i="1"/>
  <c r="H742" i="1"/>
  <c r="I742" i="1"/>
  <c r="D750" i="1"/>
  <c r="H750" i="1"/>
  <c r="I750" i="1"/>
  <c r="D751" i="1"/>
  <c r="H751" i="1"/>
  <c r="I751" i="1"/>
  <c r="D736" i="1"/>
  <c r="H736" i="1"/>
  <c r="D748" i="1"/>
  <c r="H748" i="1"/>
  <c r="I748" i="1"/>
  <c r="D749" i="1"/>
  <c r="H749" i="1"/>
  <c r="I749" i="1"/>
  <c r="K749" i="1"/>
  <c r="D741" i="1"/>
  <c r="E741" i="1"/>
  <c r="H741" i="1"/>
  <c r="D739" i="1"/>
  <c r="E739" i="1"/>
  <c r="H739" i="1"/>
  <c r="D740" i="1"/>
  <c r="E740" i="1"/>
  <c r="H740" i="1"/>
  <c r="D743" i="1"/>
  <c r="E743" i="1"/>
  <c r="H743" i="1"/>
  <c r="D730" i="1"/>
  <c r="H730" i="1"/>
  <c r="I730" i="1"/>
  <c r="D731" i="1"/>
  <c r="H731" i="1"/>
  <c r="I731" i="1"/>
  <c r="D732" i="1"/>
  <c r="H732" i="1"/>
  <c r="I732" i="1"/>
  <c r="D733" i="1"/>
  <c r="H733" i="1"/>
  <c r="I733" i="1"/>
  <c r="D745" i="1"/>
  <c r="H745" i="1"/>
  <c r="I745" i="1"/>
  <c r="D734" i="1"/>
  <c r="H734" i="1"/>
  <c r="I734" i="1"/>
  <c r="D735" i="1"/>
  <c r="H735" i="1"/>
  <c r="I735" i="1"/>
  <c r="D719" i="1"/>
  <c r="H719" i="1"/>
  <c r="I719" i="1"/>
  <c r="D729" i="1"/>
  <c r="E729" i="1"/>
  <c r="H729" i="1"/>
  <c r="D744" i="1"/>
  <c r="E744" i="1"/>
  <c r="H744" i="1"/>
  <c r="D737" i="1"/>
  <c r="H737" i="1"/>
  <c r="I737" i="1"/>
  <c r="D720" i="1"/>
  <c r="E720" i="1"/>
  <c r="H720" i="1"/>
  <c r="D721" i="1"/>
  <c r="E721" i="1"/>
  <c r="H721" i="1"/>
  <c r="D722" i="1"/>
  <c r="E722" i="1"/>
  <c r="H722" i="1"/>
  <c r="D723" i="1"/>
  <c r="E723" i="1"/>
  <c r="H723" i="1"/>
  <c r="D724" i="1"/>
  <c r="E724" i="1"/>
  <c r="H724" i="1"/>
  <c r="D725" i="1"/>
  <c r="E725" i="1"/>
  <c r="H725" i="1"/>
  <c r="D726" i="1"/>
  <c r="E726" i="1"/>
  <c r="H726" i="1"/>
  <c r="D727" i="1"/>
  <c r="E727" i="1"/>
  <c r="H727" i="1"/>
  <c r="D728" i="1"/>
  <c r="E728" i="1"/>
  <c r="H728" i="1"/>
  <c r="I728" i="1"/>
  <c r="D757" i="1"/>
  <c r="E757" i="1"/>
  <c r="H757" i="1"/>
  <c r="D758" i="1"/>
  <c r="E758" i="1"/>
  <c r="H758" i="1"/>
  <c r="D759" i="1"/>
  <c r="E759" i="1"/>
  <c r="H759" i="1"/>
  <c r="D756" i="1"/>
  <c r="E756" i="1"/>
  <c r="H756" i="1"/>
  <c r="I756" i="1"/>
  <c r="D760" i="1"/>
  <c r="E760" i="1"/>
  <c r="H760" i="1"/>
  <c r="D761" i="1"/>
  <c r="E761" i="1"/>
  <c r="H761" i="1"/>
  <c r="D762" i="1"/>
  <c r="E762" i="1"/>
  <c r="H762" i="1"/>
  <c r="D763" i="1"/>
  <c r="E763" i="1"/>
  <c r="H763" i="1"/>
  <c r="D764" i="1"/>
  <c r="E764" i="1"/>
  <c r="H764" i="1"/>
  <c r="D765" i="1"/>
  <c r="E765" i="1"/>
  <c r="H765" i="1"/>
  <c r="D766" i="1"/>
  <c r="E766" i="1"/>
  <c r="H766" i="1"/>
  <c r="D767" i="1"/>
  <c r="E767" i="1"/>
  <c r="H767" i="1"/>
  <c r="D768" i="1"/>
  <c r="E768" i="1"/>
  <c r="H768" i="1"/>
  <c r="D769" i="1"/>
  <c r="E769" i="1"/>
  <c r="H769" i="1"/>
  <c r="D755" i="1"/>
  <c r="E755" i="1"/>
  <c r="H755" i="1"/>
  <c r="D772" i="1"/>
  <c r="E772" i="1"/>
  <c r="H772" i="1"/>
  <c r="I772" i="1"/>
  <c r="D770" i="1"/>
  <c r="H770" i="1"/>
  <c r="I770" i="1"/>
  <c r="D771" i="1"/>
  <c r="E771" i="1"/>
  <c r="H771" i="1"/>
  <c r="I771" i="1"/>
  <c r="D773" i="1"/>
  <c r="H773" i="1"/>
  <c r="I773" i="1"/>
  <c r="D774" i="1"/>
  <c r="E774" i="1"/>
  <c r="H774" i="1"/>
  <c r="I774" i="1"/>
  <c r="D775" i="1"/>
  <c r="E775" i="1"/>
  <c r="H775" i="1"/>
  <c r="I775" i="1"/>
  <c r="D776" i="1"/>
  <c r="E776" i="1"/>
  <c r="H776" i="1"/>
  <c r="D777" i="1"/>
  <c r="E777" i="1"/>
  <c r="H777" i="1"/>
  <c r="D778" i="1"/>
  <c r="E778" i="1"/>
  <c r="H778" i="1"/>
  <c r="D786" i="1"/>
  <c r="H786" i="1"/>
  <c r="I786" i="1"/>
  <c r="D787" i="1"/>
  <c r="H787" i="1"/>
  <c r="I787" i="1"/>
  <c r="D788" i="1"/>
  <c r="H788" i="1"/>
  <c r="I788" i="1"/>
  <c r="D789" i="1"/>
  <c r="E789" i="1"/>
  <c r="H789" i="1"/>
  <c r="I789" i="1"/>
  <c r="D793" i="1"/>
  <c r="E793" i="1"/>
  <c r="H793" i="1"/>
  <c r="I793" i="1"/>
  <c r="D800" i="1"/>
  <c r="E800" i="1"/>
  <c r="H800" i="1"/>
  <c r="I800" i="1"/>
  <c r="D805" i="1"/>
  <c r="E805" i="1"/>
  <c r="H805" i="1"/>
  <c r="I805" i="1"/>
  <c r="D781" i="1"/>
  <c r="E781" i="1"/>
  <c r="H781" i="1"/>
  <c r="I781" i="1"/>
  <c r="D790" i="1"/>
  <c r="E790" i="1"/>
  <c r="H790" i="1"/>
  <c r="I790" i="1"/>
  <c r="D831" i="1"/>
  <c r="H831" i="1"/>
  <c r="I831" i="1"/>
  <c r="D824" i="1"/>
  <c r="E824" i="1"/>
  <c r="H824" i="1"/>
  <c r="I824" i="1"/>
  <c r="D807" i="1"/>
  <c r="E807" i="1"/>
  <c r="H807" i="1"/>
  <c r="D808" i="1"/>
  <c r="E808" i="1"/>
  <c r="H808" i="1"/>
  <c r="D809" i="1"/>
  <c r="E809" i="1"/>
  <c r="H809" i="1"/>
  <c r="D810" i="1"/>
  <c r="E810" i="1"/>
  <c r="H810" i="1"/>
  <c r="D811" i="1"/>
  <c r="E811" i="1"/>
  <c r="H811" i="1"/>
  <c r="D806" i="1"/>
  <c r="E806" i="1"/>
  <c r="H806" i="1"/>
  <c r="D794" i="1"/>
  <c r="H794" i="1"/>
  <c r="I794" i="1"/>
  <c r="D795" i="1"/>
  <c r="H795" i="1"/>
  <c r="I795" i="1"/>
  <c r="D796" i="1"/>
  <c r="H796" i="1"/>
  <c r="I796" i="1"/>
  <c r="D797" i="1"/>
  <c r="E797" i="1"/>
  <c r="H797" i="1"/>
  <c r="I797" i="1"/>
  <c r="D780" i="1"/>
  <c r="H780" i="1"/>
  <c r="I780" i="1"/>
  <c r="D812" i="1"/>
  <c r="E812" i="1"/>
  <c r="H812" i="1"/>
  <c r="D813" i="1"/>
  <c r="H813" i="1"/>
  <c r="I813" i="1"/>
  <c r="D798" i="1"/>
  <c r="E798" i="1"/>
  <c r="H798" i="1"/>
  <c r="D821" i="1"/>
  <c r="E821" i="1"/>
  <c r="H821" i="1"/>
  <c r="D822" i="1"/>
  <c r="E822" i="1"/>
  <c r="H822" i="1"/>
  <c r="D799" i="1"/>
  <c r="E799" i="1"/>
  <c r="H799" i="1"/>
  <c r="D779" i="1"/>
  <c r="E779" i="1"/>
  <c r="H779" i="1"/>
  <c r="I779" i="1"/>
  <c r="D814" i="1"/>
  <c r="E814" i="1"/>
  <c r="H814" i="1"/>
  <c r="I814" i="1"/>
  <c r="D801" i="1"/>
  <c r="E801" i="1"/>
  <c r="H801" i="1"/>
  <c r="I801" i="1"/>
  <c r="D791" i="1"/>
  <c r="E791" i="1"/>
  <c r="H791" i="1"/>
  <c r="D802" i="1"/>
  <c r="E802" i="1"/>
  <c r="H802" i="1"/>
  <c r="I802" i="1"/>
  <c r="D815" i="1"/>
  <c r="E815" i="1"/>
  <c r="H815" i="1"/>
  <c r="I815" i="1"/>
  <c r="D804" i="1"/>
  <c r="E804" i="1"/>
  <c r="H804" i="1"/>
  <c r="I804" i="1"/>
  <c r="D816" i="1"/>
  <c r="E816" i="1"/>
  <c r="H816" i="1"/>
  <c r="I816" i="1"/>
  <c r="D817" i="1"/>
  <c r="E817" i="1"/>
  <c r="H817" i="1"/>
  <c r="I817" i="1"/>
  <c r="D818" i="1"/>
  <c r="E818" i="1"/>
  <c r="H818" i="1"/>
  <c r="I818" i="1"/>
  <c r="D819" i="1"/>
  <c r="E819" i="1"/>
  <c r="H819" i="1"/>
  <c r="I819" i="1"/>
  <c r="D783" i="1"/>
  <c r="E783" i="1"/>
  <c r="H783" i="1"/>
  <c r="I783" i="1"/>
  <c r="D784" i="1"/>
  <c r="H784" i="1"/>
  <c r="I784" i="1"/>
  <c r="D803" i="1"/>
  <c r="H803" i="1"/>
  <c r="I803" i="1"/>
  <c r="D826" i="1"/>
  <c r="H826" i="1"/>
  <c r="I826" i="1"/>
  <c r="D827" i="1"/>
  <c r="H827" i="1"/>
  <c r="I827" i="1"/>
  <c r="D828" i="1"/>
  <c r="H828" i="1"/>
  <c r="I828" i="1"/>
  <c r="D832" i="1"/>
  <c r="H832" i="1"/>
  <c r="I832" i="1"/>
  <c r="D833" i="1"/>
  <c r="H833" i="1"/>
  <c r="I833" i="1"/>
  <c r="D829" i="1"/>
  <c r="H829" i="1"/>
  <c r="I829" i="1"/>
  <c r="D830" i="1"/>
  <c r="H830" i="1"/>
  <c r="I830" i="1"/>
  <c r="D823" i="1"/>
  <c r="E823" i="1"/>
  <c r="H823" i="1"/>
  <c r="D825" i="1"/>
  <c r="E825" i="1"/>
  <c r="H825" i="1"/>
  <c r="D785" i="1"/>
  <c r="H785" i="1"/>
  <c r="I785" i="1"/>
  <c r="D820" i="1"/>
  <c r="E820" i="1"/>
  <c r="H820" i="1"/>
  <c r="D782" i="1"/>
  <c r="H782" i="1"/>
  <c r="I782" i="1"/>
  <c r="D792" i="1"/>
  <c r="E792" i="1"/>
  <c r="H792" i="1"/>
  <c r="D835" i="1"/>
  <c r="E835" i="1"/>
  <c r="H835" i="1"/>
  <c r="D843" i="1"/>
  <c r="E843" i="1"/>
  <c r="H843" i="1"/>
  <c r="D837" i="1"/>
  <c r="E837" i="1"/>
  <c r="H837" i="1"/>
  <c r="D838" i="1"/>
  <c r="E838" i="1"/>
  <c r="H838" i="1"/>
  <c r="I838" i="1"/>
  <c r="D839" i="1"/>
  <c r="E839" i="1"/>
  <c r="H839" i="1"/>
  <c r="I839" i="1"/>
  <c r="D840" i="1"/>
  <c r="E840" i="1"/>
  <c r="H840" i="1"/>
  <c r="I840" i="1"/>
  <c r="D841" i="1"/>
  <c r="E841" i="1"/>
  <c r="H841" i="1"/>
  <c r="I841" i="1"/>
  <c r="D842" i="1"/>
  <c r="H842" i="1"/>
  <c r="I842" i="1"/>
  <c r="D844" i="1"/>
  <c r="E844" i="1"/>
  <c r="H844" i="1"/>
  <c r="I844" i="1"/>
  <c r="D834" i="1"/>
  <c r="E834" i="1"/>
  <c r="H834" i="1"/>
  <c r="I834" i="1"/>
  <c r="D836" i="1"/>
  <c r="H836" i="1"/>
  <c r="D860" i="1"/>
  <c r="E860" i="1"/>
  <c r="H860" i="1"/>
  <c r="I860" i="1"/>
  <c r="D866" i="1"/>
  <c r="E866" i="1"/>
  <c r="H866" i="1"/>
  <c r="I866" i="1"/>
  <c r="D872" i="1"/>
  <c r="H872" i="1"/>
  <c r="I872" i="1"/>
  <c r="D859" i="1"/>
  <c r="H859" i="1"/>
  <c r="I859" i="1"/>
  <c r="D845" i="1"/>
  <c r="H845" i="1"/>
  <c r="I845" i="1"/>
  <c r="D867" i="1"/>
  <c r="H867" i="1"/>
  <c r="D868" i="1"/>
  <c r="H868" i="1"/>
  <c r="I868" i="1"/>
  <c r="D869" i="1"/>
  <c r="E869" i="1"/>
  <c r="H869" i="1"/>
  <c r="I869" i="1"/>
  <c r="D875" i="1"/>
  <c r="E875" i="1"/>
  <c r="H875" i="1"/>
  <c r="I875" i="1"/>
  <c r="D855" i="1"/>
  <c r="E855" i="1"/>
  <c r="H855" i="1"/>
  <c r="I855" i="1"/>
  <c r="D877" i="1"/>
  <c r="E877" i="1"/>
  <c r="H877" i="1"/>
  <c r="D873" i="1"/>
  <c r="E873" i="1"/>
  <c r="H873" i="1"/>
  <c r="D878" i="1"/>
  <c r="H878" i="1"/>
  <c r="I878" i="1"/>
  <c r="D850" i="1"/>
  <c r="E850" i="1"/>
  <c r="H850" i="1"/>
  <c r="I850" i="1"/>
  <c r="D863" i="1"/>
  <c r="H863" i="1"/>
  <c r="I863" i="1"/>
  <c r="D879" i="1"/>
  <c r="H879" i="1"/>
  <c r="D876" i="1"/>
  <c r="E876" i="1"/>
  <c r="H876" i="1"/>
  <c r="D864" i="1"/>
  <c r="H864" i="1"/>
  <c r="I864" i="1"/>
  <c r="D858" i="1"/>
  <c r="E858" i="1"/>
  <c r="H858" i="1"/>
  <c r="I858" i="1"/>
  <c r="D880" i="1"/>
  <c r="H880" i="1"/>
  <c r="D881" i="1"/>
  <c r="H881" i="1"/>
  <c r="D874" i="1"/>
  <c r="H874" i="1"/>
  <c r="I874" i="1"/>
  <c r="D870" i="1"/>
  <c r="E870" i="1"/>
  <c r="H870" i="1"/>
  <c r="D871" i="1"/>
  <c r="E871" i="1"/>
  <c r="H871" i="1"/>
  <c r="D865" i="1"/>
  <c r="E865" i="1"/>
  <c r="H865" i="1"/>
  <c r="I865" i="1"/>
  <c r="D861" i="1"/>
  <c r="E861" i="1"/>
  <c r="H861" i="1"/>
  <c r="I861" i="1"/>
  <c r="D862" i="1"/>
  <c r="E862" i="1"/>
  <c r="H862" i="1"/>
  <c r="I862" i="1"/>
  <c r="D856" i="1"/>
  <c r="H856" i="1"/>
  <c r="I856" i="1"/>
  <c r="D851" i="1"/>
  <c r="E851" i="1"/>
  <c r="H851" i="1"/>
  <c r="I851" i="1"/>
  <c r="D852" i="1"/>
  <c r="E852" i="1"/>
  <c r="H852" i="1"/>
  <c r="I852" i="1"/>
  <c r="D853" i="1"/>
  <c r="E853" i="1"/>
  <c r="H853" i="1"/>
  <c r="I853" i="1"/>
  <c r="D846" i="1"/>
  <c r="E846" i="1"/>
  <c r="H846" i="1"/>
  <c r="I846" i="1"/>
  <c r="D847" i="1"/>
  <c r="E847" i="1"/>
  <c r="H847" i="1"/>
  <c r="I847" i="1"/>
  <c r="D854" i="1"/>
  <c r="H854" i="1"/>
  <c r="I854" i="1"/>
  <c r="D848" i="1"/>
  <c r="H848" i="1"/>
  <c r="I848" i="1"/>
  <c r="D849" i="1"/>
  <c r="H849" i="1"/>
  <c r="I849" i="1"/>
  <c r="D857" i="1"/>
  <c r="E857" i="1"/>
  <c r="H857" i="1"/>
  <c r="D882" i="1"/>
  <c r="E882" i="1"/>
  <c r="H882" i="1"/>
  <c r="I882" i="1"/>
  <c r="D935" i="1"/>
  <c r="E935" i="1"/>
  <c r="H935" i="1"/>
  <c r="D921" i="1"/>
  <c r="H921" i="1"/>
  <c r="D936" i="1"/>
  <c r="E936" i="1"/>
  <c r="H936" i="1"/>
  <c r="D895" i="1"/>
  <c r="H895" i="1"/>
  <c r="I895" i="1"/>
  <c r="D908" i="1"/>
  <c r="E908" i="1"/>
  <c r="H908" i="1"/>
  <c r="I908" i="1"/>
  <c r="D944" i="1"/>
  <c r="E944" i="1"/>
  <c r="H944" i="1"/>
  <c r="I944" i="1"/>
  <c r="D900" i="1"/>
  <c r="E900" i="1"/>
  <c r="H900" i="1"/>
  <c r="I900" i="1"/>
  <c r="D901" i="1"/>
  <c r="E901" i="1"/>
  <c r="H901" i="1"/>
  <c r="I901" i="1"/>
  <c r="D883" i="1"/>
  <c r="H883" i="1"/>
  <c r="D896" i="1"/>
  <c r="E896" i="1"/>
  <c r="H896" i="1"/>
  <c r="I896" i="1"/>
  <c r="D913" i="1"/>
  <c r="E913" i="1"/>
  <c r="H913" i="1"/>
  <c r="I913" i="1"/>
  <c r="D928" i="1"/>
  <c r="H928" i="1"/>
  <c r="I928" i="1"/>
  <c r="D917" i="1"/>
  <c r="H917" i="1"/>
  <c r="I917" i="1"/>
  <c r="D937" i="1"/>
  <c r="H937" i="1"/>
  <c r="I937" i="1"/>
  <c r="D938" i="1"/>
  <c r="H938" i="1"/>
  <c r="I938" i="1"/>
  <c r="D939" i="1"/>
  <c r="H939" i="1"/>
  <c r="I939" i="1"/>
  <c r="D929" i="1"/>
  <c r="E929" i="1"/>
  <c r="H929" i="1"/>
  <c r="I929" i="1"/>
  <c r="D914" i="1"/>
  <c r="E914" i="1"/>
  <c r="H914" i="1"/>
  <c r="I914" i="1"/>
  <c r="D940" i="1"/>
  <c r="E940" i="1"/>
  <c r="H940" i="1"/>
  <c r="I940" i="1"/>
  <c r="D941" i="1"/>
  <c r="E941" i="1"/>
  <c r="H941" i="1"/>
  <c r="D942" i="1"/>
  <c r="E942" i="1"/>
  <c r="H942" i="1"/>
  <c r="D926" i="1"/>
  <c r="E926" i="1"/>
  <c r="H926" i="1"/>
  <c r="D934" i="1"/>
  <c r="H934" i="1"/>
  <c r="I934" i="1"/>
  <c r="D922" i="1"/>
  <c r="H922" i="1"/>
  <c r="D902" i="1"/>
  <c r="H902" i="1"/>
  <c r="D886" i="1"/>
  <c r="H886" i="1"/>
  <c r="I886" i="1"/>
  <c r="D947" i="1"/>
  <c r="H947" i="1"/>
  <c r="I947" i="1"/>
  <c r="D903" i="1"/>
  <c r="H903" i="1"/>
  <c r="I903" i="1"/>
  <c r="D918" i="1"/>
  <c r="E918" i="1"/>
  <c r="H918" i="1"/>
  <c r="I918" i="1"/>
  <c r="D943" i="1"/>
  <c r="E943" i="1"/>
  <c r="H943" i="1"/>
  <c r="D897" i="1"/>
  <c r="E897" i="1"/>
  <c r="H897" i="1"/>
  <c r="I897" i="1"/>
  <c r="D898" i="1"/>
  <c r="E898" i="1"/>
  <c r="H898" i="1"/>
  <c r="D923" i="1"/>
  <c r="H923" i="1"/>
  <c r="I923" i="1"/>
  <c r="D910" i="1"/>
  <c r="E910" i="1"/>
  <c r="H910" i="1"/>
  <c r="I910" i="1"/>
  <c r="D945" i="1"/>
  <c r="E945" i="1"/>
  <c r="H945" i="1"/>
  <c r="D946" i="1"/>
  <c r="E946" i="1"/>
  <c r="H946" i="1"/>
  <c r="D924" i="1"/>
  <c r="H924" i="1"/>
  <c r="I924" i="1"/>
  <c r="D911" i="1"/>
  <c r="E911" i="1"/>
  <c r="H911" i="1"/>
  <c r="D912" i="1"/>
  <c r="E912" i="1"/>
  <c r="H912" i="1"/>
  <c r="D925" i="1"/>
  <c r="E925" i="1"/>
  <c r="H925" i="1"/>
  <c r="I925" i="1"/>
  <c r="D884" i="1"/>
  <c r="E884" i="1"/>
  <c r="H884" i="1"/>
  <c r="D888" i="1"/>
  <c r="E888" i="1"/>
  <c r="H888" i="1"/>
  <c r="I888" i="1"/>
  <c r="D887" i="1"/>
  <c r="E887" i="1"/>
  <c r="H887" i="1"/>
  <c r="I887" i="1"/>
  <c r="D933" i="1"/>
  <c r="E933" i="1"/>
  <c r="H933" i="1"/>
  <c r="I933" i="1"/>
  <c r="D907" i="1"/>
  <c r="E907" i="1"/>
  <c r="H907" i="1"/>
  <c r="I907" i="1"/>
  <c r="D915" i="1"/>
  <c r="E915" i="1"/>
  <c r="H915" i="1"/>
  <c r="I915" i="1"/>
  <c r="D916" i="1"/>
  <c r="E916" i="1"/>
  <c r="H916" i="1"/>
  <c r="I916" i="1"/>
  <c r="D889" i="1"/>
  <c r="H889" i="1"/>
  <c r="I889" i="1"/>
  <c r="D885" i="1"/>
  <c r="E885" i="1"/>
  <c r="H885" i="1"/>
  <c r="I885" i="1"/>
  <c r="D958" i="1"/>
  <c r="E958" i="1"/>
  <c r="H958" i="1"/>
  <c r="I958" i="1"/>
  <c r="D904" i="1"/>
  <c r="H904" i="1"/>
  <c r="I904" i="1"/>
  <c r="D905" i="1"/>
  <c r="H905" i="1"/>
  <c r="I905" i="1"/>
  <c r="D919" i="1"/>
  <c r="E919" i="1"/>
  <c r="H919" i="1"/>
  <c r="I919" i="1"/>
  <c r="D920" i="1"/>
  <c r="E920" i="1"/>
  <c r="H920" i="1"/>
  <c r="D931" i="1"/>
  <c r="E931" i="1"/>
  <c r="H931" i="1"/>
  <c r="D890" i="1"/>
  <c r="H890" i="1"/>
  <c r="I890" i="1"/>
  <c r="D930" i="1"/>
  <c r="H930" i="1"/>
  <c r="I930" i="1"/>
  <c r="D954" i="1"/>
  <c r="E954" i="1"/>
  <c r="H954" i="1"/>
  <c r="D955" i="1"/>
  <c r="E955" i="1"/>
  <c r="H955" i="1"/>
  <c r="D932" i="1"/>
  <c r="E932" i="1"/>
  <c r="H932" i="1"/>
  <c r="I932" i="1"/>
  <c r="D899" i="1"/>
  <c r="H899" i="1"/>
  <c r="D927" i="1"/>
  <c r="H927" i="1"/>
  <c r="D956" i="1"/>
  <c r="E956" i="1"/>
  <c r="H956" i="1"/>
  <c r="I956" i="1"/>
  <c r="D957" i="1"/>
  <c r="E957" i="1"/>
  <c r="H957" i="1"/>
  <c r="I957" i="1"/>
  <c r="D891" i="1"/>
  <c r="E891" i="1"/>
  <c r="H891" i="1"/>
  <c r="I891" i="1"/>
  <c r="D909" i="1"/>
  <c r="E909" i="1"/>
  <c r="H909" i="1"/>
  <c r="I909" i="1"/>
  <c r="D892" i="1"/>
  <c r="E892" i="1"/>
  <c r="H892" i="1"/>
  <c r="I892" i="1"/>
  <c r="D893" i="1"/>
  <c r="E893" i="1"/>
  <c r="H893" i="1"/>
  <c r="I893" i="1"/>
  <c r="D906" i="1"/>
  <c r="E906" i="1"/>
  <c r="H906" i="1"/>
  <c r="D894" i="1"/>
  <c r="H894" i="1"/>
  <c r="I894" i="1"/>
  <c r="D948" i="1"/>
  <c r="H948" i="1"/>
  <c r="I948" i="1"/>
  <c r="D949" i="1"/>
  <c r="E949" i="1"/>
  <c r="H949" i="1"/>
  <c r="D950" i="1"/>
  <c r="E950" i="1"/>
  <c r="H950" i="1"/>
  <c r="D951" i="1"/>
  <c r="E951" i="1"/>
  <c r="H951" i="1"/>
  <c r="D952" i="1"/>
  <c r="E952" i="1"/>
  <c r="H952" i="1"/>
  <c r="D953" i="1"/>
  <c r="H953" i="1"/>
  <c r="I953" i="1"/>
  <c r="D962" i="1"/>
  <c r="E962" i="1"/>
  <c r="H962" i="1"/>
  <c r="I962" i="1"/>
  <c r="D963" i="1"/>
  <c r="E963" i="1"/>
  <c r="H963" i="1"/>
  <c r="I963" i="1"/>
  <c r="D959" i="1"/>
  <c r="E959" i="1"/>
  <c r="H959" i="1"/>
  <c r="D960" i="1"/>
  <c r="H960" i="1"/>
  <c r="D961" i="1"/>
  <c r="E961" i="1"/>
  <c r="H961" i="1"/>
  <c r="I961" i="1"/>
  <c r="D973" i="1"/>
  <c r="E973" i="1"/>
  <c r="H973" i="1"/>
  <c r="I973" i="1"/>
  <c r="D975" i="1"/>
  <c r="E975" i="1"/>
  <c r="H975" i="1"/>
  <c r="D966" i="1"/>
  <c r="E966" i="1"/>
  <c r="H966" i="1"/>
  <c r="I966" i="1"/>
  <c r="D976" i="1"/>
  <c r="E976" i="1"/>
  <c r="H976" i="1"/>
  <c r="I976" i="1"/>
  <c r="D977" i="1"/>
  <c r="E977" i="1"/>
  <c r="H977" i="1"/>
  <c r="D978" i="1"/>
  <c r="E978" i="1"/>
  <c r="H978" i="1"/>
  <c r="D979" i="1"/>
  <c r="E979" i="1"/>
  <c r="H979" i="1"/>
  <c r="D980" i="1"/>
  <c r="E980" i="1"/>
  <c r="H980" i="1"/>
  <c r="D981" i="1"/>
  <c r="E981" i="1"/>
  <c r="H981" i="1"/>
  <c r="D967" i="1"/>
  <c r="E967" i="1"/>
  <c r="H967" i="1"/>
  <c r="D982" i="1"/>
  <c r="E982" i="1"/>
  <c r="H982" i="1"/>
  <c r="D983" i="1"/>
  <c r="E983" i="1"/>
  <c r="H983" i="1"/>
  <c r="D968" i="1"/>
  <c r="E968" i="1"/>
  <c r="H968" i="1"/>
  <c r="D969" i="1"/>
  <c r="E969" i="1"/>
  <c r="H969" i="1"/>
  <c r="D970" i="1"/>
  <c r="E970" i="1"/>
  <c r="H970" i="1"/>
  <c r="D971" i="1"/>
  <c r="E971" i="1"/>
  <c r="H971" i="1"/>
  <c r="D972" i="1"/>
  <c r="E972" i="1"/>
  <c r="H972" i="1"/>
  <c r="D974" i="1"/>
  <c r="E974" i="1"/>
  <c r="H974" i="1"/>
  <c r="D964" i="1"/>
  <c r="E964" i="1"/>
  <c r="H964" i="1"/>
  <c r="D965" i="1"/>
  <c r="E965" i="1"/>
  <c r="H965" i="1"/>
  <c r="D1034" i="1"/>
  <c r="E1034" i="1"/>
  <c r="H1034" i="1"/>
  <c r="I1034" i="1"/>
  <c r="D1006" i="1"/>
  <c r="E1006" i="1"/>
  <c r="H1006" i="1"/>
  <c r="I1006" i="1"/>
  <c r="D1023" i="1"/>
  <c r="H1023" i="1"/>
  <c r="I1023" i="1"/>
  <c r="D1024" i="1"/>
  <c r="H1024" i="1"/>
  <c r="I1024" i="1"/>
  <c r="D1011" i="1"/>
  <c r="E1011" i="1"/>
  <c r="H1011" i="1"/>
  <c r="I1011" i="1"/>
  <c r="D1028" i="1"/>
  <c r="E1028" i="1"/>
  <c r="H1028" i="1"/>
  <c r="D1029" i="1"/>
  <c r="E1029" i="1"/>
  <c r="H1029" i="1"/>
  <c r="I1029" i="1"/>
  <c r="D1030" i="1"/>
  <c r="E1030" i="1"/>
  <c r="H1030" i="1"/>
  <c r="I1030" i="1"/>
  <c r="D1015" i="1"/>
  <c r="H1015" i="1"/>
  <c r="I1015" i="1"/>
  <c r="D1016" i="1"/>
  <c r="H1016" i="1"/>
  <c r="I1016" i="1"/>
  <c r="D1012" i="1"/>
  <c r="E1012" i="1"/>
  <c r="H1012" i="1"/>
  <c r="D998" i="1"/>
  <c r="E998" i="1"/>
  <c r="H998" i="1"/>
  <c r="D984" i="1"/>
  <c r="E984" i="1"/>
  <c r="H984" i="1"/>
  <c r="I984" i="1"/>
  <c r="D1003" i="1"/>
  <c r="H1003" i="1"/>
  <c r="I1003" i="1"/>
  <c r="D985" i="1"/>
  <c r="E985" i="1"/>
  <c r="H985" i="1"/>
  <c r="D986" i="1"/>
  <c r="E986" i="1"/>
  <c r="H986" i="1"/>
  <c r="D1004" i="1"/>
  <c r="H1004" i="1"/>
  <c r="D1005" i="1"/>
  <c r="H1005" i="1"/>
  <c r="D1001" i="1"/>
  <c r="E1001" i="1"/>
  <c r="H1001" i="1"/>
  <c r="D987" i="1"/>
  <c r="E987" i="1"/>
  <c r="H987" i="1"/>
  <c r="D1002" i="1"/>
  <c r="H1002" i="1"/>
  <c r="I1002" i="1"/>
  <c r="D988" i="1"/>
  <c r="E988" i="1"/>
  <c r="H988" i="1"/>
  <c r="D989" i="1"/>
  <c r="E989" i="1"/>
  <c r="H989" i="1"/>
  <c r="D990" i="1"/>
  <c r="E990" i="1"/>
  <c r="H990" i="1"/>
  <c r="D991" i="1"/>
  <c r="H991" i="1"/>
  <c r="I991" i="1"/>
  <c r="D1007" i="1"/>
  <c r="E1007" i="1"/>
  <c r="H1007" i="1"/>
  <c r="D1035" i="1"/>
  <c r="E1035" i="1"/>
  <c r="H1035" i="1"/>
  <c r="I1035" i="1"/>
  <c r="D1036" i="1"/>
  <c r="E1036" i="1"/>
  <c r="H1036" i="1"/>
  <c r="I1036" i="1"/>
  <c r="D1037" i="1"/>
  <c r="E1037" i="1"/>
  <c r="H1037" i="1"/>
  <c r="D1038" i="1"/>
  <c r="H1038" i="1"/>
  <c r="I1038" i="1"/>
  <c r="D992" i="1"/>
  <c r="E992" i="1"/>
  <c r="H992" i="1"/>
  <c r="D993" i="1"/>
  <c r="E993" i="1"/>
  <c r="H993" i="1"/>
  <c r="I993" i="1"/>
  <c r="D1031" i="1"/>
  <c r="E1031" i="1"/>
  <c r="H1031" i="1"/>
  <c r="D1032" i="1"/>
  <c r="E1032" i="1"/>
  <c r="H1032" i="1"/>
  <c r="D1033" i="1"/>
  <c r="E1033" i="1"/>
  <c r="H1033" i="1"/>
  <c r="D1025" i="1"/>
  <c r="H1025" i="1"/>
  <c r="D1026" i="1"/>
  <c r="H1026" i="1"/>
  <c r="D1008" i="1"/>
  <c r="E1008" i="1"/>
  <c r="H1008" i="1"/>
  <c r="I1008" i="1"/>
  <c r="D1009" i="1"/>
  <c r="E1009" i="1"/>
  <c r="H1009" i="1"/>
  <c r="I1009" i="1"/>
  <c r="D999" i="1"/>
  <c r="H999" i="1"/>
  <c r="I999" i="1"/>
  <c r="D994" i="1"/>
  <c r="E994" i="1"/>
  <c r="H994" i="1"/>
  <c r="I994" i="1"/>
  <c r="D1000" i="1"/>
  <c r="E1000" i="1"/>
  <c r="H1000" i="1"/>
  <c r="D1017" i="1"/>
  <c r="H1017" i="1"/>
  <c r="I1017" i="1"/>
  <c r="D1018" i="1"/>
  <c r="H1018" i="1"/>
  <c r="I1018" i="1"/>
  <c r="D1013" i="1"/>
  <c r="E1013" i="1"/>
  <c r="H1013" i="1"/>
  <c r="I1013" i="1"/>
  <c r="D1020" i="1"/>
  <c r="H1020" i="1"/>
  <c r="I1020" i="1"/>
  <c r="D1021" i="1"/>
  <c r="E1021" i="1"/>
  <c r="H1021" i="1"/>
  <c r="D1022" i="1"/>
  <c r="E1022" i="1"/>
  <c r="H1022" i="1"/>
  <c r="D1014" i="1"/>
  <c r="E1014" i="1"/>
  <c r="H1014" i="1"/>
  <c r="I1014" i="1"/>
  <c r="D1010" i="1"/>
  <c r="E1010" i="1"/>
  <c r="H1010" i="1"/>
  <c r="I1010" i="1"/>
  <c r="D1019" i="1"/>
  <c r="E1019" i="1"/>
  <c r="H1019" i="1"/>
  <c r="I1019" i="1"/>
  <c r="D1027" i="1"/>
  <c r="H1027" i="1"/>
  <c r="I1027" i="1"/>
  <c r="D995" i="1"/>
  <c r="E995" i="1"/>
  <c r="H995" i="1"/>
  <c r="I995" i="1"/>
  <c r="D996" i="1"/>
  <c r="H996" i="1"/>
  <c r="I996" i="1"/>
  <c r="D997" i="1"/>
  <c r="H997" i="1"/>
  <c r="I997" i="1"/>
  <c r="D1054" i="1"/>
  <c r="H1054" i="1"/>
  <c r="I1054" i="1"/>
  <c r="D1049" i="1"/>
  <c r="H1049" i="1"/>
  <c r="I1049" i="1"/>
  <c r="D1050" i="1"/>
  <c r="E1050" i="1"/>
  <c r="H1050" i="1"/>
  <c r="I1050" i="1"/>
  <c r="D1040" i="1"/>
  <c r="E1040" i="1"/>
  <c r="H1040" i="1"/>
  <c r="I1040" i="1"/>
  <c r="D1055" i="1"/>
  <c r="E1055" i="1"/>
  <c r="H1055" i="1"/>
  <c r="I1055" i="1"/>
  <c r="D1057" i="1"/>
  <c r="E1057" i="1"/>
  <c r="H1057" i="1"/>
  <c r="I1057" i="1"/>
  <c r="D1046" i="1"/>
  <c r="H1046" i="1"/>
  <c r="I1046" i="1"/>
  <c r="D1051" i="1"/>
  <c r="E1051" i="1"/>
  <c r="H1051" i="1"/>
  <c r="I1051" i="1"/>
  <c r="D1052" i="1"/>
  <c r="E1052" i="1"/>
  <c r="H1052" i="1"/>
  <c r="I1052" i="1"/>
  <c r="D1053" i="1"/>
  <c r="E1053" i="1"/>
  <c r="H1053" i="1"/>
  <c r="I1053" i="1"/>
  <c r="D1041" i="1"/>
  <c r="E1041" i="1"/>
  <c r="H1041" i="1"/>
  <c r="D1056" i="1"/>
  <c r="E1056" i="1"/>
  <c r="H1056" i="1"/>
  <c r="I1056" i="1"/>
  <c r="D1043" i="1"/>
  <c r="E1043" i="1"/>
  <c r="H1043" i="1"/>
  <c r="D1067" i="1"/>
  <c r="E1067" i="1"/>
  <c r="H1067" i="1"/>
  <c r="I1067" i="1"/>
  <c r="D1042" i="1"/>
  <c r="E1042" i="1"/>
  <c r="H1042" i="1"/>
  <c r="D1045" i="1"/>
  <c r="E1045" i="1"/>
  <c r="H1045" i="1"/>
  <c r="I1045" i="1"/>
  <c r="D1058" i="1"/>
  <c r="E1058" i="1"/>
  <c r="H1058" i="1"/>
  <c r="I1058" i="1"/>
  <c r="D1059" i="1"/>
  <c r="E1059" i="1"/>
  <c r="H1059" i="1"/>
  <c r="D1060" i="1"/>
  <c r="H1060" i="1"/>
  <c r="I1060" i="1"/>
  <c r="D1044" i="1"/>
  <c r="E1044" i="1"/>
  <c r="H1044" i="1"/>
  <c r="D1061" i="1"/>
  <c r="E1061" i="1"/>
  <c r="H1061" i="1"/>
  <c r="D1062" i="1"/>
  <c r="E1062" i="1"/>
  <c r="H1062" i="1"/>
  <c r="D1063" i="1"/>
  <c r="E1063" i="1"/>
  <c r="H1063" i="1"/>
  <c r="D1064" i="1"/>
  <c r="E1064" i="1"/>
  <c r="H1064" i="1"/>
  <c r="D1065" i="1"/>
  <c r="E1065" i="1"/>
  <c r="H1065" i="1"/>
  <c r="D1066" i="1"/>
  <c r="E1066" i="1"/>
  <c r="H1066" i="1"/>
  <c r="D1068" i="1"/>
  <c r="H1068" i="1"/>
  <c r="I1068" i="1"/>
  <c r="D1039" i="1"/>
  <c r="E1039" i="1"/>
  <c r="H1039" i="1"/>
  <c r="D1047" i="1"/>
  <c r="E1047" i="1"/>
  <c r="H1047" i="1"/>
  <c r="D1048" i="1"/>
  <c r="E1048" i="1"/>
  <c r="H1048" i="1"/>
  <c r="D1100" i="1"/>
  <c r="H1100" i="1"/>
  <c r="I1100" i="1"/>
  <c r="D1123" i="1"/>
  <c r="H1123" i="1"/>
  <c r="D1101" i="1"/>
  <c r="H1101" i="1"/>
  <c r="I1101" i="1"/>
  <c r="D1172" i="1"/>
  <c r="E1172" i="1"/>
  <c r="H1172" i="1"/>
  <c r="I1172" i="1"/>
  <c r="D1173" i="1"/>
  <c r="E1173" i="1"/>
  <c r="H1173" i="1"/>
  <c r="I1173" i="1"/>
  <c r="D1174" i="1"/>
  <c r="E1174" i="1"/>
  <c r="H1174" i="1"/>
  <c r="I1174" i="1"/>
  <c r="D1175" i="1"/>
  <c r="E1175" i="1"/>
  <c r="H1175" i="1"/>
  <c r="I1175" i="1"/>
  <c r="D1102" i="1"/>
  <c r="H1102" i="1"/>
  <c r="I1102" i="1"/>
  <c r="D1124" i="1"/>
  <c r="H1124" i="1"/>
  <c r="I1124" i="1"/>
  <c r="D1114" i="1"/>
  <c r="E1114" i="1"/>
  <c r="H1114" i="1"/>
  <c r="D1115" i="1"/>
  <c r="E1115" i="1"/>
  <c r="H1115" i="1"/>
  <c r="I1115" i="1"/>
  <c r="D1116" i="1"/>
  <c r="E1116" i="1"/>
  <c r="H1116" i="1"/>
  <c r="I1116" i="1"/>
  <c r="D1117" i="1"/>
  <c r="E1117" i="1"/>
  <c r="H1117" i="1"/>
  <c r="I1117" i="1"/>
  <c r="D1118" i="1"/>
  <c r="E1118" i="1"/>
  <c r="H1118" i="1"/>
  <c r="D1151" i="1"/>
  <c r="H1151" i="1"/>
  <c r="I1151" i="1"/>
  <c r="D1152" i="1"/>
  <c r="H1152" i="1"/>
  <c r="I1152" i="1"/>
  <c r="D1153" i="1"/>
  <c r="H1153" i="1"/>
  <c r="I1153" i="1"/>
  <c r="D1069" i="1"/>
  <c r="E1069" i="1"/>
  <c r="H1069" i="1"/>
  <c r="I1069" i="1"/>
  <c r="D1095" i="1"/>
  <c r="H1095" i="1"/>
  <c r="I1095" i="1"/>
  <c r="D1178" i="1"/>
  <c r="E1178" i="1"/>
  <c r="H1178" i="1"/>
  <c r="I1178" i="1"/>
  <c r="D1122" i="1"/>
  <c r="E1122" i="1"/>
  <c r="H1122" i="1"/>
  <c r="I1122" i="1"/>
  <c r="D1076" i="1"/>
  <c r="E1076" i="1"/>
  <c r="H1076" i="1"/>
  <c r="I1076" i="1"/>
  <c r="D1179" i="1"/>
  <c r="E1179" i="1"/>
  <c r="H1179" i="1"/>
  <c r="D1125" i="1"/>
  <c r="E1125" i="1"/>
  <c r="H1125" i="1"/>
  <c r="D1126" i="1"/>
  <c r="H1126" i="1"/>
  <c r="D1180" i="1"/>
  <c r="H1180" i="1"/>
  <c r="I1180" i="1"/>
  <c r="D1127" i="1"/>
  <c r="E1127" i="1"/>
  <c r="H1127" i="1"/>
  <c r="D1128" i="1"/>
  <c r="E1128" i="1"/>
  <c r="H1128" i="1"/>
  <c r="D1129" i="1"/>
  <c r="H1129" i="1"/>
  <c r="D1130" i="1"/>
  <c r="H1130" i="1"/>
  <c r="D1131" i="1"/>
  <c r="H1131" i="1"/>
  <c r="I1131" i="1"/>
  <c r="D1132" i="1"/>
  <c r="E1132" i="1"/>
  <c r="H1132" i="1"/>
  <c r="D1133" i="1"/>
  <c r="H1133" i="1"/>
  <c r="I1133" i="1"/>
  <c r="D1134" i="1"/>
  <c r="H1134" i="1"/>
  <c r="I1134" i="1"/>
  <c r="D1181" i="1"/>
  <c r="H1181" i="1"/>
  <c r="D1135" i="1"/>
  <c r="E1135" i="1"/>
  <c r="H1135" i="1"/>
  <c r="D1136" i="1"/>
  <c r="H1136" i="1"/>
  <c r="I1136" i="1"/>
  <c r="D1137" i="1"/>
  <c r="H1137" i="1"/>
  <c r="D1138" i="1"/>
  <c r="H1138" i="1"/>
  <c r="D1139" i="1"/>
  <c r="H1139" i="1"/>
  <c r="D1140" i="1"/>
  <c r="H1140" i="1"/>
  <c r="D1141" i="1"/>
  <c r="H1141" i="1"/>
  <c r="D1142" i="1"/>
  <c r="H1142" i="1"/>
  <c r="D1143" i="1"/>
  <c r="H1143" i="1"/>
  <c r="D1144" i="1"/>
  <c r="H1144" i="1"/>
  <c r="I1144" i="1"/>
  <c r="D1145" i="1"/>
  <c r="E1145" i="1"/>
  <c r="H1145" i="1"/>
  <c r="I1145" i="1"/>
  <c r="D1162" i="1"/>
  <c r="H1162" i="1"/>
  <c r="I1162" i="1"/>
  <c r="D1163" i="1"/>
  <c r="E1163" i="1"/>
  <c r="H1163" i="1"/>
  <c r="I1163" i="1"/>
  <c r="D1169" i="1"/>
  <c r="E1169" i="1"/>
  <c r="H1169" i="1"/>
  <c r="D1170" i="1"/>
  <c r="H1170" i="1"/>
  <c r="D1093" i="1"/>
  <c r="H1093" i="1"/>
  <c r="I1093" i="1"/>
  <c r="D1094" i="1"/>
  <c r="E1094" i="1"/>
  <c r="H1094" i="1"/>
  <c r="D1077" i="1"/>
  <c r="E1077" i="1"/>
  <c r="H1077" i="1"/>
  <c r="I1077" i="1"/>
  <c r="D1078" i="1"/>
  <c r="H1078" i="1"/>
  <c r="I1078" i="1"/>
  <c r="D1079" i="1"/>
  <c r="E1079" i="1"/>
  <c r="H1079" i="1"/>
  <c r="I1079" i="1"/>
  <c r="D1080" i="1"/>
  <c r="E1080" i="1"/>
  <c r="H1080" i="1"/>
  <c r="D1081" i="1"/>
  <c r="H1081" i="1"/>
  <c r="D1082" i="1"/>
  <c r="H1082" i="1"/>
  <c r="I1082" i="1"/>
  <c r="D1083" i="1"/>
  <c r="E1083" i="1"/>
  <c r="H1083" i="1"/>
  <c r="I1083" i="1"/>
  <c r="D1084" i="1"/>
  <c r="H1084" i="1"/>
  <c r="I1084" i="1"/>
  <c r="D1085" i="1"/>
  <c r="H1085" i="1"/>
  <c r="I1085" i="1"/>
  <c r="D1157" i="1"/>
  <c r="E1157" i="1"/>
  <c r="H1157" i="1"/>
  <c r="D1158" i="1"/>
  <c r="E1158" i="1"/>
  <c r="H1158" i="1"/>
  <c r="D1086" i="1"/>
  <c r="E1086" i="1"/>
  <c r="H1086" i="1"/>
  <c r="D1087" i="1"/>
  <c r="E1087" i="1"/>
  <c r="H1087" i="1"/>
  <c r="D1088" i="1"/>
  <c r="E1088" i="1"/>
  <c r="H1088" i="1"/>
  <c r="D1089" i="1"/>
  <c r="E1089" i="1"/>
  <c r="H1089" i="1"/>
  <c r="D1090" i="1"/>
  <c r="E1090" i="1"/>
  <c r="H1090" i="1"/>
  <c r="D1091" i="1"/>
  <c r="E1091" i="1"/>
  <c r="H1091" i="1"/>
  <c r="D1164" i="1"/>
  <c r="H1164" i="1"/>
  <c r="I1164" i="1"/>
  <c r="D1119" i="1"/>
  <c r="H1119" i="1"/>
  <c r="I1119" i="1"/>
  <c r="D1096" i="1"/>
  <c r="H1096" i="1"/>
  <c r="I1096" i="1"/>
  <c r="D1165" i="1"/>
  <c r="H1165" i="1"/>
  <c r="I1165" i="1"/>
  <c r="D1097" i="1"/>
  <c r="H1097" i="1"/>
  <c r="I1097" i="1"/>
  <c r="D1098" i="1"/>
  <c r="H1098" i="1"/>
  <c r="I1098" i="1"/>
  <c r="D1099" i="1"/>
  <c r="H1099" i="1"/>
  <c r="I1099" i="1"/>
  <c r="D1154" i="1"/>
  <c r="E1154" i="1"/>
  <c r="H1154" i="1"/>
  <c r="I1154" i="1"/>
  <c r="D1120" i="1"/>
  <c r="E1120" i="1"/>
  <c r="H1120" i="1"/>
  <c r="I1120" i="1"/>
  <c r="D1103" i="1"/>
  <c r="E1103" i="1"/>
  <c r="H1103" i="1"/>
  <c r="I1103" i="1"/>
  <c r="D1104" i="1"/>
  <c r="E1104" i="1"/>
  <c r="H1104" i="1"/>
  <c r="I1104" i="1"/>
  <c r="D1105" i="1"/>
  <c r="E1105" i="1"/>
  <c r="H1105" i="1"/>
  <c r="I1105" i="1"/>
  <c r="D1106" i="1"/>
  <c r="E1106" i="1"/>
  <c r="H1106" i="1"/>
  <c r="I1106" i="1"/>
  <c r="D1176" i="1"/>
  <c r="E1176" i="1"/>
  <c r="H1176" i="1"/>
  <c r="I1176" i="1"/>
  <c r="D1121" i="1"/>
  <c r="E1121" i="1"/>
  <c r="H1121" i="1"/>
  <c r="I1121" i="1"/>
  <c r="D1159" i="1"/>
  <c r="H1159" i="1"/>
  <c r="I1159" i="1"/>
  <c r="D1177" i="1"/>
  <c r="H1177" i="1"/>
  <c r="I1177" i="1"/>
  <c r="D1166" i="1"/>
  <c r="H1166" i="1"/>
  <c r="I1166" i="1"/>
  <c r="D1155" i="1"/>
  <c r="H1155" i="1"/>
  <c r="I1155" i="1"/>
  <c r="D1182" i="1"/>
  <c r="H1182" i="1"/>
  <c r="D1161" i="1"/>
  <c r="E1161" i="1"/>
  <c r="H1161" i="1"/>
  <c r="I1161" i="1"/>
  <c r="D1156" i="1"/>
  <c r="E1156" i="1"/>
  <c r="H1156" i="1"/>
  <c r="D1092" i="1"/>
  <c r="H1092" i="1"/>
  <c r="I1092" i="1"/>
  <c r="D1070" i="1"/>
  <c r="H1070" i="1"/>
  <c r="I1070" i="1"/>
  <c r="D1146" i="1"/>
  <c r="H1146" i="1"/>
  <c r="D1160" i="1"/>
  <c r="E1160" i="1"/>
  <c r="H1160" i="1"/>
  <c r="D1071" i="1"/>
  <c r="H1071" i="1"/>
  <c r="I1071" i="1"/>
  <c r="D1107" i="1"/>
  <c r="H1107" i="1"/>
  <c r="I1107" i="1"/>
  <c r="D1147" i="1"/>
  <c r="E1147" i="1"/>
  <c r="H1147" i="1"/>
  <c r="D1108" i="1"/>
  <c r="H1108" i="1"/>
  <c r="I1108" i="1"/>
  <c r="D1148" i="1"/>
  <c r="H1148" i="1"/>
  <c r="I1148" i="1"/>
  <c r="D1149" i="1"/>
  <c r="H1149" i="1"/>
  <c r="I1149" i="1"/>
  <c r="D1072" i="1"/>
  <c r="H1072" i="1"/>
  <c r="I1072" i="1"/>
  <c r="D1073" i="1"/>
  <c r="H1073" i="1"/>
  <c r="I1073" i="1"/>
  <c r="D1150" i="1"/>
  <c r="E1150" i="1"/>
  <c r="H1150" i="1"/>
  <c r="D1109" i="1"/>
  <c r="E1109" i="1"/>
  <c r="H1109" i="1"/>
  <c r="D1110" i="1"/>
  <c r="E1110" i="1"/>
  <c r="H1110" i="1"/>
  <c r="D1074" i="1"/>
  <c r="E1074" i="1"/>
  <c r="H1074" i="1"/>
  <c r="D1075" i="1"/>
  <c r="H1075" i="1"/>
  <c r="D1111" i="1"/>
  <c r="E1111" i="1"/>
  <c r="H1111" i="1"/>
  <c r="D1112" i="1"/>
  <c r="H1112" i="1"/>
  <c r="I1112" i="1"/>
  <c r="D1113" i="1"/>
  <c r="E1113" i="1"/>
  <c r="H1113" i="1"/>
  <c r="I1113" i="1"/>
  <c r="D1167" i="1"/>
  <c r="H1167" i="1"/>
  <c r="I1167" i="1"/>
  <c r="D1171" i="1"/>
  <c r="E1171" i="1"/>
  <c r="H1171" i="1"/>
  <c r="I1171" i="1"/>
  <c r="D1168" i="1"/>
  <c r="H1168" i="1"/>
  <c r="I1168" i="1"/>
  <c r="D1183" i="1"/>
  <c r="E1183" i="1"/>
  <c r="H1183" i="1"/>
  <c r="D1237" i="1"/>
  <c r="E1237" i="1"/>
  <c r="H1237" i="1"/>
  <c r="I1237" i="1"/>
  <c r="D1239" i="1"/>
  <c r="E1239" i="1"/>
  <c r="H1239" i="1"/>
  <c r="D1240" i="1"/>
  <c r="E1240" i="1"/>
  <c r="H1240" i="1"/>
  <c r="I1240" i="1"/>
  <c r="D1227" i="1"/>
  <c r="H1227" i="1"/>
  <c r="I1227" i="1"/>
  <c r="D1241" i="1"/>
  <c r="E1241" i="1"/>
  <c r="H1241" i="1"/>
  <c r="D1185" i="1"/>
  <c r="E1185" i="1"/>
  <c r="H1185" i="1"/>
  <c r="I1185" i="1"/>
  <c r="D1186" i="1"/>
  <c r="E1186" i="1"/>
  <c r="H1186" i="1"/>
  <c r="D1187" i="1"/>
  <c r="E1187" i="1"/>
  <c r="H1187" i="1"/>
  <c r="D1184" i="1"/>
  <c r="E1184" i="1"/>
  <c r="H1184" i="1"/>
  <c r="D1188" i="1"/>
  <c r="E1188" i="1"/>
  <c r="H1188" i="1"/>
  <c r="D1189" i="1"/>
  <c r="E1189" i="1"/>
  <c r="H1189" i="1"/>
  <c r="D1190" i="1"/>
  <c r="E1190" i="1"/>
  <c r="H1190" i="1"/>
  <c r="D1191" i="1"/>
  <c r="E1191" i="1"/>
  <c r="H1191" i="1"/>
  <c r="D1192" i="1"/>
  <c r="E1192" i="1"/>
  <c r="H1192" i="1"/>
  <c r="D1193" i="1"/>
  <c r="E1193" i="1"/>
  <c r="H1193" i="1"/>
  <c r="D1194" i="1"/>
  <c r="E1194" i="1"/>
  <c r="H1194" i="1"/>
  <c r="D1195" i="1"/>
  <c r="E1195" i="1"/>
  <c r="H1195" i="1"/>
  <c r="D1196" i="1"/>
  <c r="E1196" i="1"/>
  <c r="H1196" i="1"/>
  <c r="D1197" i="1"/>
  <c r="E1197" i="1"/>
  <c r="H1197" i="1"/>
  <c r="D1198" i="1"/>
  <c r="E1198" i="1"/>
  <c r="H1198" i="1"/>
  <c r="D1199" i="1"/>
  <c r="E1199" i="1"/>
  <c r="H1199" i="1"/>
  <c r="D1200" i="1"/>
  <c r="E1200" i="1"/>
  <c r="H1200" i="1"/>
  <c r="D1201" i="1"/>
  <c r="E1201" i="1"/>
  <c r="H1201" i="1"/>
  <c r="D1202" i="1"/>
  <c r="E1202" i="1"/>
  <c r="H1202" i="1"/>
  <c r="D1203" i="1"/>
  <c r="E1203" i="1"/>
  <c r="H1203" i="1"/>
  <c r="D1204" i="1"/>
  <c r="E1204" i="1"/>
  <c r="H1204" i="1"/>
  <c r="D1205" i="1"/>
  <c r="E1205" i="1"/>
  <c r="H1205" i="1"/>
  <c r="D1206" i="1"/>
  <c r="E1206" i="1"/>
  <c r="H1206" i="1"/>
  <c r="D1207" i="1"/>
  <c r="E1207" i="1"/>
  <c r="H1207" i="1"/>
  <c r="D1208" i="1"/>
  <c r="E1208" i="1"/>
  <c r="H1208" i="1"/>
  <c r="D1209" i="1"/>
  <c r="E1209" i="1"/>
  <c r="H1209" i="1"/>
  <c r="D1210" i="1"/>
  <c r="E1210" i="1"/>
  <c r="H1210" i="1"/>
  <c r="D1211" i="1"/>
  <c r="E1211" i="1"/>
  <c r="H1211" i="1"/>
  <c r="D1212" i="1"/>
  <c r="E1212" i="1"/>
  <c r="H1212" i="1"/>
  <c r="D1213" i="1"/>
  <c r="E1213" i="1"/>
  <c r="H1213" i="1"/>
  <c r="D1214" i="1"/>
  <c r="E1214" i="1"/>
  <c r="H1214" i="1"/>
  <c r="D1215" i="1"/>
  <c r="E1215" i="1"/>
  <c r="H1215" i="1"/>
  <c r="D1216" i="1"/>
  <c r="E1216" i="1"/>
  <c r="H1216" i="1"/>
  <c r="D1242" i="1"/>
  <c r="H1242" i="1"/>
  <c r="I1242" i="1"/>
  <c r="D1238" i="1"/>
  <c r="H1238" i="1"/>
  <c r="D1229" i="1"/>
  <c r="E1229" i="1"/>
  <c r="H1229" i="1"/>
  <c r="D1230" i="1"/>
  <c r="E1230" i="1"/>
  <c r="H1230" i="1"/>
  <c r="D1217" i="1"/>
  <c r="E1217" i="1"/>
  <c r="H1217" i="1"/>
  <c r="D1221" i="1"/>
  <c r="E1221" i="1"/>
  <c r="H1221" i="1"/>
  <c r="I1221" i="1"/>
  <c r="D1218" i="1"/>
  <c r="E1218" i="1"/>
  <c r="H1218" i="1"/>
  <c r="D1219" i="1"/>
  <c r="E1219" i="1"/>
  <c r="H1219" i="1"/>
  <c r="D1220" i="1"/>
  <c r="E1220" i="1"/>
  <c r="H1220" i="1"/>
  <c r="D1231" i="1"/>
  <c r="E1231" i="1"/>
  <c r="H1231" i="1"/>
  <c r="I1231" i="1"/>
  <c r="D1236" i="1"/>
  <c r="H1236" i="1"/>
  <c r="I1236" i="1"/>
  <c r="D1228" i="1"/>
  <c r="E1228" i="1"/>
  <c r="H1228" i="1"/>
  <c r="D1222" i="1"/>
  <c r="E1222" i="1"/>
  <c r="H1222" i="1"/>
  <c r="D1223" i="1"/>
  <c r="E1223" i="1"/>
  <c r="H1223" i="1"/>
  <c r="D1224" i="1"/>
  <c r="E1224" i="1"/>
  <c r="H1224" i="1"/>
  <c r="D1225" i="1"/>
  <c r="E1225" i="1"/>
  <c r="H1225" i="1"/>
  <c r="D1226" i="1"/>
  <c r="E1226" i="1"/>
  <c r="H1226" i="1"/>
  <c r="D1232" i="1"/>
  <c r="E1232" i="1"/>
  <c r="H1232" i="1"/>
  <c r="D1233" i="1"/>
  <c r="E1233" i="1"/>
  <c r="H1233" i="1"/>
  <c r="D1234" i="1"/>
  <c r="E1234" i="1"/>
  <c r="H1234" i="1"/>
  <c r="D1235" i="1"/>
  <c r="E1235" i="1"/>
  <c r="H1235" i="1"/>
  <c r="D1243" i="1"/>
  <c r="H1243" i="1"/>
  <c r="D1244" i="1"/>
  <c r="H1244" i="1"/>
  <c r="I1244" i="1"/>
  <c r="D1270" i="1"/>
  <c r="H1270" i="1"/>
  <c r="I1270" i="1"/>
  <c r="D1271" i="1"/>
  <c r="H1271" i="1"/>
  <c r="I1271" i="1"/>
  <c r="D1251" i="1"/>
  <c r="E1251" i="1"/>
  <c r="H1251" i="1"/>
  <c r="D1255" i="1"/>
  <c r="H1255" i="1"/>
  <c r="I1255" i="1"/>
  <c r="D1256" i="1"/>
  <c r="H1256" i="1"/>
  <c r="I1256" i="1"/>
  <c r="D1273" i="1"/>
  <c r="H1273" i="1"/>
  <c r="I1273" i="1"/>
  <c r="D1245" i="1"/>
  <c r="E1245" i="1"/>
  <c r="H1245" i="1"/>
  <c r="I1245" i="1"/>
  <c r="D1246" i="1"/>
  <c r="E1246" i="1"/>
  <c r="H1246" i="1"/>
  <c r="I1246" i="1"/>
  <c r="D1263" i="1"/>
  <c r="E1263" i="1"/>
  <c r="H1263" i="1"/>
  <c r="I1263" i="1"/>
  <c r="D1266" i="1"/>
  <c r="H1266" i="1"/>
  <c r="I1266" i="1"/>
  <c r="D1269" i="1"/>
  <c r="H1269" i="1"/>
  <c r="D1259" i="1"/>
  <c r="H1259" i="1"/>
  <c r="I1259" i="1"/>
  <c r="D1247" i="1"/>
  <c r="E1247" i="1"/>
  <c r="H1247" i="1"/>
  <c r="I1247" i="1"/>
  <c r="D1274" i="1"/>
  <c r="E1274" i="1"/>
  <c r="H1274" i="1"/>
  <c r="D1260" i="1"/>
  <c r="E1260" i="1"/>
  <c r="H1260" i="1"/>
  <c r="I1260" i="1"/>
  <c r="D1254" i="1"/>
  <c r="E1254" i="1"/>
  <c r="H1254" i="1"/>
  <c r="I1254" i="1"/>
  <c r="D1261" i="1"/>
  <c r="E1261" i="1"/>
  <c r="H1261" i="1"/>
  <c r="I1261" i="1"/>
  <c r="D1258" i="1"/>
  <c r="E1258" i="1"/>
  <c r="H1258" i="1"/>
  <c r="I1258" i="1"/>
  <c r="D1262" i="1"/>
  <c r="E1262" i="1"/>
  <c r="H1262" i="1"/>
  <c r="I1262" i="1"/>
  <c r="D1257" i="1"/>
  <c r="E1257" i="1"/>
  <c r="H1257" i="1"/>
  <c r="I1257" i="1"/>
  <c r="D1272" i="1"/>
  <c r="H1272" i="1"/>
  <c r="I1272" i="1"/>
  <c r="D1250" i="1"/>
  <c r="E1250" i="1"/>
  <c r="H1250" i="1"/>
  <c r="I1250" i="1"/>
  <c r="D1248" i="1"/>
  <c r="E1248" i="1"/>
  <c r="H1248" i="1"/>
  <c r="I1248" i="1"/>
  <c r="D1267" i="1"/>
  <c r="H1267" i="1"/>
  <c r="I1267" i="1"/>
  <c r="D1264" i="1"/>
  <c r="E1264" i="1"/>
  <c r="H1264" i="1"/>
  <c r="D1265" i="1"/>
  <c r="E1265" i="1"/>
  <c r="H1265" i="1"/>
  <c r="I1265" i="1"/>
  <c r="D1268" i="1"/>
  <c r="H1268" i="1"/>
  <c r="I1268" i="1"/>
  <c r="D1249" i="1"/>
  <c r="H1249" i="1"/>
  <c r="I1249" i="1"/>
  <c r="D1252" i="1"/>
  <c r="E1252" i="1"/>
  <c r="H1252" i="1"/>
  <c r="D1253" i="1"/>
  <c r="E1253" i="1"/>
  <c r="H1253" i="1"/>
  <c r="I1253" i="1"/>
  <c r="D1275" i="1"/>
  <c r="E1275" i="1"/>
  <c r="H1275" i="1"/>
  <c r="I1275" i="1"/>
  <c r="D1395" i="1"/>
  <c r="H1395" i="1"/>
  <c r="D1353" i="1"/>
  <c r="H1353" i="1"/>
  <c r="I1353" i="1"/>
  <c r="D1390" i="1"/>
  <c r="H1390" i="1"/>
  <c r="D1396" i="1"/>
  <c r="H1396" i="1"/>
  <c r="D1391" i="1"/>
  <c r="H1391" i="1"/>
  <c r="D1316" i="1"/>
  <c r="E1316" i="1"/>
  <c r="H1316" i="1"/>
  <c r="I1316" i="1"/>
  <c r="D1372" i="1"/>
  <c r="E1372" i="1"/>
  <c r="H1372" i="1"/>
  <c r="I1372" i="1"/>
  <c r="D1278" i="1"/>
  <c r="H1278" i="1"/>
  <c r="I1278" i="1"/>
  <c r="D1375" i="1"/>
  <c r="H1375" i="1"/>
  <c r="D1377" i="1"/>
  <c r="E1377" i="1"/>
  <c r="H1377" i="1"/>
  <c r="I1377" i="1"/>
  <c r="D1311" i="1"/>
  <c r="H1311" i="1"/>
  <c r="I1311" i="1"/>
  <c r="D1378" i="1"/>
  <c r="E1378" i="1"/>
  <c r="H1378" i="1"/>
  <c r="I1378" i="1"/>
  <c r="D1312" i="1"/>
  <c r="H1312" i="1"/>
  <c r="I1312" i="1"/>
  <c r="D1330" i="1"/>
  <c r="E1330" i="1"/>
  <c r="H1330" i="1"/>
  <c r="D1328" i="1"/>
  <c r="E1328" i="1"/>
  <c r="H1328" i="1"/>
  <c r="D1329" i="1"/>
  <c r="E1329" i="1"/>
  <c r="H1329" i="1"/>
  <c r="I1329" i="1"/>
  <c r="D1345" i="1"/>
  <c r="E1345" i="1"/>
  <c r="H1345" i="1"/>
  <c r="D1398" i="1"/>
  <c r="H1398" i="1"/>
  <c r="I1398" i="1"/>
  <c r="D1397" i="1"/>
  <c r="H1397" i="1"/>
  <c r="I1397" i="1"/>
  <c r="D1291" i="1"/>
  <c r="H1291" i="1"/>
  <c r="D1317" i="1"/>
  <c r="E1317" i="1"/>
  <c r="H1317" i="1"/>
  <c r="I1317" i="1"/>
  <c r="D1298" i="1"/>
  <c r="E1298" i="1"/>
  <c r="H1298" i="1"/>
  <c r="I1298" i="1"/>
  <c r="D1381" i="1"/>
  <c r="E1381" i="1"/>
  <c r="H1381" i="1"/>
  <c r="I1381" i="1"/>
  <c r="D1386" i="1"/>
  <c r="H1386" i="1"/>
  <c r="I1386" i="1"/>
  <c r="D1387" i="1"/>
  <c r="H1387" i="1"/>
  <c r="I1387" i="1"/>
  <c r="D1320" i="1"/>
  <c r="E1320" i="1"/>
  <c r="H1320" i="1"/>
  <c r="I1320" i="1"/>
  <c r="D1343" i="1"/>
  <c r="H1343" i="1"/>
  <c r="D1314" i="1"/>
  <c r="H1314" i="1"/>
  <c r="I1314" i="1"/>
  <c r="D1297" i="1"/>
  <c r="H1297" i="1"/>
  <c r="I1297" i="1"/>
  <c r="D1301" i="1"/>
  <c r="H1301" i="1"/>
  <c r="I1301" i="1"/>
  <c r="D1321" i="1"/>
  <c r="H1321" i="1"/>
  <c r="I1321" i="1"/>
  <c r="D1318" i="1"/>
  <c r="E1318" i="1"/>
  <c r="H1318" i="1"/>
  <c r="I1318" i="1"/>
  <c r="D1323" i="1"/>
  <c r="E1323" i="1"/>
  <c r="H1323" i="1"/>
  <c r="I1323" i="1"/>
  <c r="D1315" i="1"/>
  <c r="H1315" i="1"/>
  <c r="I1315" i="1"/>
  <c r="D1392" i="1"/>
  <c r="E1392" i="1"/>
  <c r="H1392" i="1"/>
  <c r="I1392" i="1"/>
  <c r="D1405" i="1"/>
  <c r="H1405" i="1"/>
  <c r="D1279" i="1"/>
  <c r="H1279" i="1"/>
  <c r="I1279" i="1"/>
  <c r="D1382" i="1"/>
  <c r="E1382" i="1"/>
  <c r="H1382" i="1"/>
  <c r="I1382" i="1"/>
  <c r="D1371" i="1"/>
  <c r="H1371" i="1"/>
  <c r="I1371" i="1"/>
  <c r="D1280" i="1"/>
  <c r="H1280" i="1"/>
  <c r="I1280" i="1"/>
  <c r="D1383" i="1"/>
  <c r="E1383" i="1"/>
  <c r="H1383" i="1"/>
  <c r="I1383" i="1"/>
  <c r="D1402" i="1"/>
  <c r="E1402" i="1"/>
  <c r="H1402" i="1"/>
  <c r="I1402" i="1"/>
  <c r="D1384" i="1"/>
  <c r="H1384" i="1"/>
  <c r="D1385" i="1"/>
  <c r="E1385" i="1"/>
  <c r="H1385" i="1"/>
  <c r="D1406" i="1"/>
  <c r="E1406" i="1"/>
  <c r="H1406" i="1"/>
  <c r="D1407" i="1"/>
  <c r="H1407" i="1"/>
  <c r="I1407" i="1"/>
  <c r="D1408" i="1"/>
  <c r="H1408" i="1"/>
  <c r="D1409" i="1"/>
  <c r="E1409" i="1"/>
  <c r="H1409" i="1"/>
  <c r="D1290" i="1"/>
  <c r="H1290" i="1"/>
  <c r="I1290" i="1"/>
  <c r="D1322" i="1"/>
  <c r="H1322" i="1"/>
  <c r="I1322" i="1"/>
  <c r="D1281" i="1"/>
  <c r="H1281" i="1"/>
  <c r="I1281" i="1"/>
  <c r="D1289" i="1"/>
  <c r="H1289" i="1"/>
  <c r="D1319" i="1"/>
  <c r="E1319" i="1"/>
  <c r="H1319" i="1"/>
  <c r="I1319" i="1"/>
  <c r="D1356" i="1"/>
  <c r="H1356" i="1"/>
  <c r="D1313" i="1"/>
  <c r="H1313" i="1"/>
  <c r="D1292" i="1"/>
  <c r="E1292" i="1"/>
  <c r="H1292" i="1"/>
  <c r="I1292" i="1"/>
  <c r="D1283" i="1"/>
  <c r="H1283" i="1"/>
  <c r="I1283" i="1"/>
  <c r="D1327" i="1"/>
  <c r="E1327" i="1"/>
  <c r="H1327" i="1"/>
  <c r="I1327" i="1"/>
  <c r="D1369" i="1"/>
  <c r="E1369" i="1"/>
  <c r="H1369" i="1"/>
  <c r="D1344" i="1"/>
  <c r="E1344" i="1"/>
  <c r="H1344" i="1"/>
  <c r="I1344" i="1"/>
  <c r="D1373" i="1"/>
  <c r="H1373" i="1"/>
  <c r="I1373" i="1"/>
  <c r="D1362" i="1"/>
  <c r="E1362" i="1"/>
  <c r="H1362" i="1"/>
  <c r="D1403" i="1"/>
  <c r="E1403" i="1"/>
  <c r="H1403" i="1"/>
  <c r="I1403" i="1"/>
  <c r="D1404" i="1"/>
  <c r="E1404" i="1"/>
  <c r="H1404" i="1"/>
  <c r="I1404" i="1"/>
  <c r="D1376" i="1"/>
  <c r="E1376" i="1"/>
  <c r="H1376" i="1"/>
  <c r="I1376" i="1"/>
  <c r="D1333" i="1"/>
  <c r="H1333" i="1"/>
  <c r="I1333" i="1"/>
  <c r="D1331" i="1"/>
  <c r="E1331" i="1"/>
  <c r="H1331" i="1"/>
  <c r="I1331" i="1"/>
  <c r="D1370" i="1"/>
  <c r="E1370" i="1"/>
  <c r="H1370" i="1"/>
  <c r="D1326" i="1"/>
  <c r="E1326" i="1"/>
  <c r="H1326" i="1"/>
  <c r="D1374" i="1"/>
  <c r="E1374" i="1"/>
  <c r="H1374" i="1"/>
  <c r="I1374" i="1"/>
  <c r="D1388" i="1"/>
  <c r="E1388" i="1"/>
  <c r="H1388" i="1"/>
  <c r="I1388" i="1"/>
  <c r="D1389" i="1"/>
  <c r="E1389" i="1"/>
  <c r="H1389" i="1"/>
  <c r="I1389" i="1"/>
  <c r="D1393" i="1"/>
  <c r="E1393" i="1"/>
  <c r="H1393" i="1"/>
  <c r="I1393" i="1"/>
  <c r="D1332" i="1"/>
  <c r="H1332" i="1"/>
  <c r="I1332" i="1"/>
  <c r="D1361" i="1"/>
  <c r="E1361" i="1"/>
  <c r="H1361" i="1"/>
  <c r="I1361" i="1"/>
  <c r="D1379" i="1"/>
  <c r="E1379" i="1"/>
  <c r="H1379" i="1"/>
  <c r="D1302" i="1"/>
  <c r="E1302" i="1"/>
  <c r="H1302" i="1"/>
  <c r="D1303" i="1"/>
  <c r="E1303" i="1"/>
  <c r="H1303" i="1"/>
  <c r="I1303" i="1"/>
  <c r="D1304" i="1"/>
  <c r="H1304" i="1"/>
  <c r="I1304" i="1"/>
  <c r="D1293" i="1"/>
  <c r="H1293" i="1"/>
  <c r="I1293" i="1"/>
  <c r="D1363" i="1"/>
  <c r="E1363" i="1"/>
  <c r="H1363" i="1"/>
  <c r="I1363" i="1"/>
  <c r="D1367" i="1"/>
  <c r="E1367" i="1"/>
  <c r="H1367" i="1"/>
  <c r="I1367" i="1"/>
  <c r="D1334" i="1"/>
  <c r="E1334" i="1"/>
  <c r="H1334" i="1"/>
  <c r="D1335" i="1"/>
  <c r="E1335" i="1"/>
  <c r="H1335" i="1"/>
  <c r="D1368" i="1"/>
  <c r="E1368" i="1"/>
  <c r="H1368" i="1"/>
  <c r="I1368" i="1"/>
  <c r="D1294" i="1"/>
  <c r="H1294" i="1"/>
  <c r="D1295" i="1"/>
  <c r="H1295" i="1"/>
  <c r="D1336" i="1"/>
  <c r="E1336" i="1"/>
  <c r="H1336" i="1"/>
  <c r="D1284" i="1"/>
  <c r="E1284" i="1"/>
  <c r="H1284" i="1"/>
  <c r="I1284" i="1"/>
  <c r="D1337" i="1"/>
  <c r="E1337" i="1"/>
  <c r="H1337" i="1"/>
  <c r="D1338" i="1"/>
  <c r="E1338" i="1"/>
  <c r="H1338" i="1"/>
  <c r="D1339" i="1"/>
  <c r="E1339" i="1"/>
  <c r="H1339" i="1"/>
  <c r="D1354" i="1"/>
  <c r="E1354" i="1"/>
  <c r="H1354" i="1"/>
  <c r="D1340" i="1"/>
  <c r="H1340" i="1"/>
  <c r="I1340" i="1"/>
  <c r="D1364" i="1"/>
  <c r="E1364" i="1"/>
  <c r="H1364" i="1"/>
  <c r="D1355" i="1"/>
  <c r="E1355" i="1"/>
  <c r="H1355" i="1"/>
  <c r="D1394" i="1"/>
  <c r="E1394" i="1"/>
  <c r="H1394" i="1"/>
  <c r="D1352" i="1"/>
  <c r="E1352" i="1"/>
  <c r="H1352" i="1"/>
  <c r="I1352" i="1"/>
  <c r="D1285" i="1"/>
  <c r="E1285" i="1"/>
  <c r="H1285" i="1"/>
  <c r="I1285" i="1"/>
  <c r="D1286" i="1"/>
  <c r="E1286" i="1"/>
  <c r="H1286" i="1"/>
  <c r="I1286" i="1"/>
  <c r="D1287" i="1"/>
  <c r="H1287" i="1"/>
  <c r="I1287" i="1"/>
  <c r="D1357" i="1"/>
  <c r="E1357" i="1"/>
  <c r="H1357" i="1"/>
  <c r="D1305" i="1"/>
  <c r="E1305" i="1"/>
  <c r="H1305" i="1"/>
  <c r="I1305" i="1"/>
  <c r="D1358" i="1"/>
  <c r="H1358" i="1"/>
  <c r="I1358" i="1"/>
  <c r="D1299" i="1"/>
  <c r="H1299" i="1"/>
  <c r="I1299" i="1"/>
  <c r="D1306" i="1"/>
  <c r="E1306" i="1"/>
  <c r="H1306" i="1"/>
  <c r="I1306" i="1"/>
  <c r="D1359" i="1"/>
  <c r="E1359" i="1"/>
  <c r="H1359" i="1"/>
  <c r="I1359" i="1"/>
  <c r="D1324" i="1"/>
  <c r="E1324" i="1"/>
  <c r="H1324" i="1"/>
  <c r="I1324" i="1"/>
  <c r="D1288" i="1"/>
  <c r="E1288" i="1"/>
  <c r="H1288" i="1"/>
  <c r="I1288" i="1"/>
  <c r="D1346" i="1"/>
  <c r="H1346" i="1"/>
  <c r="I1346" i="1"/>
  <c r="D1347" i="1"/>
  <c r="H1347" i="1"/>
  <c r="D1360" i="1"/>
  <c r="H1360" i="1"/>
  <c r="I1360" i="1"/>
  <c r="D1307" i="1"/>
  <c r="H1307" i="1"/>
  <c r="D1276" i="1"/>
  <c r="H1276" i="1"/>
  <c r="D1348" i="1"/>
  <c r="E1348" i="1"/>
  <c r="H1348" i="1"/>
  <c r="D1308" i="1"/>
  <c r="H1308" i="1"/>
  <c r="I1308" i="1"/>
  <c r="D1277" i="1"/>
  <c r="E1277" i="1"/>
  <c r="H1277" i="1"/>
  <c r="I1277" i="1"/>
  <c r="D1300" i="1"/>
  <c r="H1300" i="1"/>
  <c r="I1300" i="1"/>
  <c r="D1349" i="1"/>
  <c r="H1349" i="1"/>
  <c r="I1349" i="1"/>
  <c r="D1350" i="1"/>
  <c r="E1350" i="1"/>
  <c r="H1350" i="1"/>
  <c r="I1350" i="1"/>
  <c r="D1351" i="1"/>
  <c r="H1351" i="1"/>
  <c r="D1309" i="1"/>
  <c r="H1309" i="1"/>
  <c r="I1309" i="1"/>
  <c r="D1310" i="1"/>
  <c r="H1310" i="1"/>
  <c r="I1310" i="1"/>
  <c r="D1282" i="1"/>
  <c r="H1282" i="1"/>
  <c r="D1399" i="1"/>
  <c r="E1399" i="1"/>
  <c r="H1399" i="1"/>
  <c r="I1399" i="1"/>
  <c r="D1341" i="1"/>
  <c r="H1341" i="1"/>
  <c r="I1341" i="1"/>
  <c r="D1325" i="1"/>
  <c r="E1325" i="1"/>
  <c r="H1325" i="1"/>
  <c r="I1325" i="1"/>
  <c r="D1296" i="1"/>
  <c r="H1296" i="1"/>
  <c r="I1296" i="1"/>
  <c r="D1380" i="1"/>
  <c r="E1380" i="1"/>
  <c r="H1380" i="1"/>
  <c r="I1380" i="1"/>
  <c r="D1342" i="1"/>
  <c r="E1342" i="1"/>
  <c r="H1342" i="1"/>
  <c r="I1342" i="1"/>
  <c r="D1365" i="1"/>
  <c r="E1365" i="1"/>
  <c r="H1365" i="1"/>
  <c r="D1366" i="1"/>
  <c r="E1366" i="1"/>
  <c r="H1366" i="1"/>
  <c r="D1400" i="1"/>
  <c r="E1400" i="1"/>
  <c r="H1400" i="1"/>
  <c r="D1401" i="1"/>
  <c r="E1401" i="1"/>
  <c r="H1401" i="1"/>
  <c r="D1421" i="1"/>
  <c r="E1421" i="1"/>
  <c r="H1421" i="1"/>
  <c r="D1532" i="1"/>
  <c r="H1532" i="1"/>
  <c r="D1422" i="1"/>
  <c r="E1422" i="1"/>
  <c r="H1422" i="1"/>
  <c r="I1422" i="1"/>
  <c r="D1423" i="1"/>
  <c r="E1423" i="1"/>
  <c r="H1423" i="1"/>
  <c r="D1457" i="1"/>
  <c r="H1457" i="1"/>
  <c r="I1457" i="1"/>
  <c r="D1424" i="1"/>
  <c r="H1424" i="1"/>
  <c r="I1424" i="1"/>
  <c r="D1425" i="1"/>
  <c r="H1425" i="1"/>
  <c r="I1425" i="1"/>
  <c r="D1458" i="1"/>
  <c r="E1458" i="1"/>
  <c r="H1458" i="1"/>
  <c r="D1459" i="1"/>
  <c r="E1459" i="1"/>
  <c r="H1459" i="1"/>
  <c r="D1417" i="1"/>
  <c r="H1417" i="1"/>
  <c r="I1417" i="1"/>
  <c r="D1516" i="1"/>
  <c r="E1516" i="1"/>
  <c r="H1516" i="1"/>
  <c r="D1489" i="1"/>
  <c r="E1489" i="1"/>
  <c r="H1489" i="1"/>
  <c r="D1517" i="1"/>
  <c r="E1517" i="1"/>
  <c r="H1517" i="1"/>
  <c r="D1490" i="1"/>
  <c r="E1490" i="1"/>
  <c r="H1490" i="1"/>
  <c r="D1460" i="1"/>
  <c r="E1460" i="1"/>
  <c r="H1460" i="1"/>
  <c r="D1491" i="1"/>
  <c r="E1491" i="1"/>
  <c r="H1491" i="1"/>
  <c r="D1492" i="1"/>
  <c r="E1492" i="1"/>
  <c r="H1492" i="1"/>
  <c r="D1493" i="1"/>
  <c r="E1493" i="1"/>
  <c r="H1493" i="1"/>
  <c r="D1494" i="1"/>
  <c r="E1494" i="1"/>
  <c r="H1494" i="1"/>
  <c r="D1426" i="1"/>
  <c r="E1426" i="1"/>
  <c r="H1426" i="1"/>
  <c r="D1495" i="1"/>
  <c r="E1495" i="1"/>
  <c r="H1495" i="1"/>
  <c r="D1461" i="1"/>
  <c r="E1461" i="1"/>
  <c r="H1461" i="1"/>
  <c r="D1462" i="1"/>
  <c r="E1462" i="1"/>
  <c r="H1462" i="1"/>
  <c r="D1463" i="1"/>
  <c r="E1463" i="1"/>
  <c r="H1463" i="1"/>
  <c r="D1464" i="1"/>
  <c r="E1464" i="1"/>
  <c r="H1464" i="1"/>
  <c r="D1465" i="1"/>
  <c r="E1465" i="1"/>
  <c r="H1465" i="1"/>
  <c r="D1466" i="1"/>
  <c r="E1466" i="1"/>
  <c r="H1466" i="1"/>
  <c r="D1467" i="1"/>
  <c r="E1467" i="1"/>
  <c r="H1467" i="1"/>
  <c r="D1496" i="1"/>
  <c r="H1496" i="1"/>
  <c r="I1496" i="1"/>
  <c r="D1468" i="1"/>
  <c r="E1468" i="1"/>
  <c r="H1468" i="1"/>
  <c r="I1468" i="1"/>
  <c r="D1518" i="1"/>
  <c r="E1518" i="1"/>
  <c r="H1518" i="1"/>
  <c r="D1469" i="1"/>
  <c r="E1469" i="1"/>
  <c r="H1469" i="1"/>
  <c r="I1469" i="1"/>
  <c r="D1519" i="1"/>
  <c r="H1519" i="1"/>
  <c r="I1519" i="1"/>
  <c r="D1419" i="1"/>
  <c r="E1419" i="1"/>
  <c r="H1419" i="1"/>
  <c r="D1533" i="1"/>
  <c r="E1533" i="1"/>
  <c r="H1533" i="1"/>
  <c r="D1534" i="1"/>
  <c r="E1534" i="1"/>
  <c r="H1534" i="1"/>
  <c r="D1420" i="1"/>
  <c r="H1420" i="1"/>
  <c r="I1420" i="1"/>
  <c r="D1520" i="1"/>
  <c r="E1520" i="1"/>
  <c r="H1520" i="1"/>
  <c r="D1427" i="1"/>
  <c r="H1427" i="1"/>
  <c r="D1497" i="1"/>
  <c r="H1497" i="1"/>
  <c r="I1497" i="1"/>
  <c r="D1535" i="1"/>
  <c r="E1535" i="1"/>
  <c r="H1535" i="1"/>
  <c r="D1498" i="1"/>
  <c r="E1498" i="1"/>
  <c r="H1498" i="1"/>
  <c r="D1470" i="1"/>
  <c r="E1470" i="1"/>
  <c r="H1470" i="1"/>
  <c r="D1428" i="1"/>
  <c r="E1428" i="1"/>
  <c r="H1428" i="1"/>
  <c r="D1429" i="1"/>
  <c r="E1429" i="1"/>
  <c r="H1429" i="1"/>
  <c r="D1430" i="1"/>
  <c r="E1430" i="1"/>
  <c r="H1430" i="1"/>
  <c r="D1431" i="1"/>
  <c r="E1431" i="1"/>
  <c r="H1431" i="1"/>
  <c r="D1471" i="1"/>
  <c r="E1471" i="1"/>
  <c r="H1471" i="1"/>
  <c r="D1521" i="1"/>
  <c r="E1521" i="1"/>
  <c r="H1521" i="1"/>
  <c r="D1411" i="1"/>
  <c r="H1411" i="1"/>
  <c r="I1411" i="1"/>
  <c r="D1412" i="1"/>
  <c r="E1412" i="1"/>
  <c r="H1412" i="1"/>
  <c r="I1412" i="1"/>
  <c r="D1413" i="1"/>
  <c r="E1413" i="1"/>
  <c r="H1413" i="1"/>
  <c r="I1413" i="1"/>
  <c r="D1438" i="1"/>
  <c r="E1438" i="1"/>
  <c r="H1438" i="1"/>
  <c r="D1439" i="1"/>
  <c r="E1439" i="1"/>
  <c r="H1439" i="1"/>
  <c r="D1477" i="1"/>
  <c r="E1477" i="1"/>
  <c r="H1477" i="1"/>
  <c r="D1478" i="1"/>
  <c r="E1478" i="1"/>
  <c r="H1478" i="1"/>
  <c r="D1453" i="1"/>
  <c r="E1453" i="1"/>
  <c r="H1453" i="1"/>
  <c r="D1479" i="1"/>
  <c r="E1479" i="1"/>
  <c r="H1479" i="1"/>
  <c r="I1479" i="1"/>
  <c r="D1542" i="1"/>
  <c r="E1542" i="1"/>
  <c r="H1542" i="1"/>
  <c r="D1454" i="1"/>
  <c r="E1454" i="1"/>
  <c r="H1454" i="1"/>
  <c r="D1455" i="1"/>
  <c r="E1455" i="1"/>
  <c r="H1455" i="1"/>
  <c r="D1456" i="1"/>
  <c r="E1456" i="1"/>
  <c r="H1456" i="1"/>
  <c r="D1481" i="1"/>
  <c r="E1481" i="1"/>
  <c r="H1481" i="1"/>
  <c r="D1482" i="1"/>
  <c r="E1482" i="1"/>
  <c r="H1482" i="1"/>
  <c r="D1472" i="1"/>
  <c r="E1472" i="1"/>
  <c r="H1472" i="1"/>
  <c r="D1442" i="1"/>
  <c r="H1442" i="1"/>
  <c r="I1442" i="1"/>
  <c r="D1443" i="1"/>
  <c r="H1443" i="1"/>
  <c r="I1443" i="1"/>
  <c r="D1444" i="1"/>
  <c r="H1444" i="1"/>
  <c r="I1444" i="1"/>
  <c r="D1445" i="1"/>
  <c r="H1445" i="1"/>
  <c r="I1445" i="1"/>
  <c r="D1446" i="1"/>
  <c r="H1446" i="1"/>
  <c r="I1446" i="1"/>
  <c r="D1432" i="1"/>
  <c r="E1432" i="1"/>
  <c r="H1432" i="1"/>
  <c r="I1432" i="1"/>
  <c r="D1500" i="1"/>
  <c r="H1500" i="1"/>
  <c r="I1500" i="1"/>
  <c r="D1501" i="1"/>
  <c r="E1501" i="1"/>
  <c r="H1501" i="1"/>
  <c r="D1434" i="1"/>
  <c r="E1434" i="1"/>
  <c r="H1434" i="1"/>
  <c r="D1502" i="1"/>
  <c r="E1502" i="1"/>
  <c r="H1502" i="1"/>
  <c r="I1502" i="1"/>
  <c r="D1543" i="1"/>
  <c r="E1543" i="1"/>
  <c r="H1543" i="1"/>
  <c r="D1410" i="1"/>
  <c r="E1410" i="1"/>
  <c r="H1410" i="1"/>
  <c r="D1435" i="1"/>
  <c r="E1435" i="1"/>
  <c r="H1435" i="1"/>
  <c r="D1544" i="1"/>
  <c r="E1544" i="1"/>
  <c r="H1544" i="1"/>
  <c r="D1545" i="1"/>
  <c r="E1545" i="1"/>
  <c r="H1545" i="1"/>
  <c r="D1503" i="1"/>
  <c r="E1503" i="1"/>
  <c r="H1503" i="1"/>
  <c r="D1546" i="1"/>
  <c r="E1546" i="1"/>
  <c r="H1546" i="1"/>
  <c r="D1547" i="1"/>
  <c r="E1547" i="1"/>
  <c r="H1547" i="1"/>
  <c r="D1504" i="1"/>
  <c r="H1504" i="1"/>
  <c r="I1504" i="1"/>
  <c r="D1539" i="1"/>
  <c r="H1539" i="1"/>
  <c r="I1539" i="1"/>
  <c r="D1514" i="1"/>
  <c r="E1514" i="1"/>
  <c r="H1514" i="1"/>
  <c r="D1436" i="1"/>
  <c r="E1436" i="1"/>
  <c r="H1436" i="1"/>
  <c r="D1505" i="1"/>
  <c r="H1505" i="1"/>
  <c r="D1506" i="1"/>
  <c r="H1506" i="1"/>
  <c r="D1507" i="1"/>
  <c r="H1507" i="1"/>
  <c r="D1508" i="1"/>
  <c r="H1508" i="1"/>
  <c r="D1509" i="1"/>
  <c r="H1509" i="1"/>
  <c r="D1510" i="1"/>
  <c r="H1510" i="1"/>
  <c r="D1511" i="1"/>
  <c r="H1511" i="1"/>
  <c r="D1512" i="1"/>
  <c r="E1512" i="1"/>
  <c r="H1512" i="1"/>
  <c r="I1512" i="1"/>
  <c r="D1515" i="1"/>
  <c r="E1515" i="1"/>
  <c r="H1515" i="1"/>
  <c r="D1548" i="1"/>
  <c r="E1548" i="1"/>
  <c r="H1548" i="1"/>
  <c r="D1549" i="1"/>
  <c r="E1549" i="1"/>
  <c r="H1549" i="1"/>
  <c r="D1437" i="1"/>
  <c r="E1437" i="1"/>
  <c r="H1437" i="1"/>
  <c r="D1513" i="1"/>
  <c r="H1513" i="1"/>
  <c r="D1540" i="1"/>
  <c r="E1540" i="1"/>
  <c r="H1540" i="1"/>
  <c r="D1418" i="1"/>
  <c r="E1418" i="1"/>
  <c r="H1418" i="1"/>
  <c r="I1418" i="1"/>
  <c r="D1485" i="1"/>
  <c r="H1485" i="1"/>
  <c r="I1485" i="1"/>
  <c r="D1486" i="1"/>
  <c r="H1486" i="1"/>
  <c r="I1486" i="1"/>
  <c r="D1488" i="1"/>
  <c r="E1488" i="1"/>
  <c r="H1488" i="1"/>
  <c r="I1488" i="1"/>
  <c r="D1499" i="1"/>
  <c r="E1499" i="1"/>
  <c r="H1499" i="1"/>
  <c r="I1499" i="1"/>
  <c r="D1536" i="1"/>
  <c r="H1536" i="1"/>
  <c r="I1536" i="1"/>
  <c r="D1537" i="1"/>
  <c r="H1537" i="1"/>
  <c r="I1537" i="1"/>
  <c r="D1480" i="1"/>
  <c r="E1480" i="1"/>
  <c r="H1480" i="1"/>
  <c r="I1480" i="1"/>
  <c r="D1447" i="1"/>
  <c r="H1447" i="1"/>
  <c r="I1447" i="1"/>
  <c r="D1433" i="1"/>
  <c r="E1433" i="1"/>
  <c r="H1433" i="1"/>
  <c r="I1433" i="1"/>
  <c r="D1449" i="1"/>
  <c r="E1449" i="1"/>
  <c r="H1449" i="1"/>
  <c r="D1450" i="1"/>
  <c r="E1450" i="1"/>
  <c r="H1450" i="1"/>
  <c r="D1526" i="1"/>
  <c r="E1526" i="1"/>
  <c r="H1526" i="1"/>
  <c r="I1526" i="1"/>
  <c r="D1487" i="1"/>
  <c r="E1487" i="1"/>
  <c r="H1487" i="1"/>
  <c r="I1487" i="1"/>
  <c r="D1527" i="1"/>
  <c r="E1527" i="1"/>
  <c r="H1527" i="1"/>
  <c r="D1528" i="1"/>
  <c r="E1528" i="1"/>
  <c r="H1528" i="1"/>
  <c r="I1528" i="1"/>
  <c r="D1529" i="1"/>
  <c r="E1529" i="1"/>
  <c r="H1529" i="1"/>
  <c r="I1529" i="1"/>
  <c r="D1440" i="1"/>
  <c r="H1440" i="1"/>
  <c r="D1473" i="1"/>
  <c r="E1473" i="1"/>
  <c r="H1473" i="1"/>
  <c r="D1474" i="1"/>
  <c r="E1474" i="1"/>
  <c r="H1474" i="1"/>
  <c r="D1530" i="1"/>
  <c r="H1530" i="1"/>
  <c r="I1530" i="1"/>
  <c r="D1531" i="1"/>
  <c r="E1531" i="1"/>
  <c r="H1531" i="1"/>
  <c r="D1475" i="1"/>
  <c r="H1475" i="1"/>
  <c r="D1476" i="1"/>
  <c r="H1476" i="1"/>
  <c r="I1476" i="1"/>
  <c r="D1441" i="1"/>
  <c r="H1441" i="1"/>
  <c r="I1441" i="1"/>
  <c r="D1451" i="1"/>
  <c r="E1451" i="1"/>
  <c r="H1451" i="1"/>
  <c r="D1452" i="1"/>
  <c r="H1452" i="1"/>
  <c r="I1452" i="1"/>
  <c r="D1484" i="1"/>
  <c r="E1484" i="1"/>
  <c r="H1484" i="1"/>
  <c r="D1550" i="1"/>
  <c r="H1550" i="1"/>
  <c r="I1550" i="1"/>
  <c r="D1522" i="1"/>
  <c r="E1522" i="1"/>
  <c r="H1522" i="1"/>
  <c r="D1523" i="1"/>
  <c r="H1523" i="1"/>
  <c r="I1523" i="1"/>
  <c r="D1524" i="1"/>
  <c r="H1524" i="1"/>
  <c r="I1524" i="1"/>
  <c r="D1525" i="1"/>
  <c r="H1525" i="1"/>
  <c r="I1525" i="1"/>
  <c r="D1416" i="1"/>
  <c r="E1416" i="1"/>
  <c r="H1416" i="1"/>
  <c r="D1414" i="1"/>
  <c r="H1414" i="1"/>
  <c r="I1414" i="1"/>
  <c r="D1415" i="1"/>
  <c r="E1415" i="1"/>
  <c r="H1415" i="1"/>
  <c r="I1415" i="1"/>
  <c r="D1538" i="1"/>
  <c r="H1538" i="1"/>
  <c r="I1538" i="1"/>
  <c r="D1448" i="1"/>
  <c r="H1448" i="1"/>
  <c r="I1448" i="1"/>
  <c r="D1541" i="1"/>
  <c r="E1541" i="1"/>
  <c r="H1541" i="1"/>
  <c r="I1541" i="1"/>
  <c r="D1483" i="1"/>
  <c r="E1483" i="1"/>
  <c r="H1483" i="1"/>
  <c r="I1483" i="1"/>
  <c r="D1552" i="1"/>
  <c r="E1552" i="1"/>
  <c r="H1552" i="1"/>
  <c r="I1552" i="1"/>
  <c r="D1551" i="1"/>
  <c r="E1551" i="1"/>
  <c r="H1551" i="1"/>
  <c r="I1551" i="1"/>
  <c r="D1574" i="1"/>
  <c r="E1574" i="1"/>
  <c r="H1574" i="1"/>
  <c r="D1596" i="1"/>
  <c r="E1596" i="1"/>
  <c r="H1596" i="1"/>
  <c r="D1609" i="1"/>
  <c r="H1609" i="1"/>
  <c r="D1634" i="1"/>
  <c r="H1634" i="1"/>
  <c r="I1634" i="1"/>
  <c r="D1582" i="1"/>
  <c r="E1582" i="1"/>
  <c r="H1582" i="1"/>
  <c r="I1582" i="1"/>
  <c r="D1581" i="1"/>
  <c r="E1581" i="1"/>
  <c r="H1581" i="1"/>
  <c r="I1581" i="1"/>
  <c r="D1597" i="1"/>
  <c r="E1597" i="1"/>
  <c r="H1597" i="1"/>
  <c r="D1598" i="1"/>
  <c r="E1598" i="1"/>
  <c r="H1598" i="1"/>
  <c r="D1624" i="1"/>
  <c r="E1624" i="1"/>
  <c r="H1624" i="1"/>
  <c r="D1625" i="1"/>
  <c r="E1625" i="1"/>
  <c r="H1625" i="1"/>
  <c r="D1599" i="1"/>
  <c r="E1599" i="1"/>
  <c r="H1599" i="1"/>
  <c r="D1600" i="1"/>
  <c r="E1600" i="1"/>
  <c r="H1600" i="1"/>
  <c r="D1626" i="1"/>
  <c r="E1626" i="1"/>
  <c r="H1626" i="1"/>
  <c r="D1601" i="1"/>
  <c r="E1601" i="1"/>
  <c r="H1601" i="1"/>
  <c r="D1602" i="1"/>
  <c r="E1602" i="1"/>
  <c r="H1602" i="1"/>
  <c r="D1627" i="1"/>
  <c r="H1627" i="1"/>
  <c r="I1627" i="1"/>
  <c r="D1603" i="1"/>
  <c r="H1603" i="1"/>
  <c r="I1603" i="1"/>
  <c r="D1604" i="1"/>
  <c r="E1604" i="1"/>
  <c r="H1604" i="1"/>
  <c r="D1605" i="1"/>
  <c r="H1605" i="1"/>
  <c r="I1605" i="1"/>
  <c r="D1628" i="1"/>
  <c r="H1628" i="1"/>
  <c r="I1628" i="1"/>
  <c r="D1629" i="1"/>
  <c r="E1629" i="1"/>
  <c r="H1629" i="1"/>
  <c r="D1630" i="1"/>
  <c r="E1630" i="1"/>
  <c r="H1630" i="1"/>
  <c r="D1606" i="1"/>
  <c r="E1606" i="1"/>
  <c r="H1606" i="1"/>
  <c r="D1631" i="1"/>
  <c r="E1631" i="1"/>
  <c r="H1631" i="1"/>
  <c r="D1632" i="1"/>
  <c r="E1632" i="1"/>
  <c r="H1632" i="1"/>
  <c r="D1633" i="1"/>
  <c r="E1633" i="1"/>
  <c r="H1633" i="1"/>
  <c r="D1575" i="1"/>
  <c r="E1575" i="1"/>
  <c r="H1575" i="1"/>
  <c r="I1575" i="1"/>
  <c r="D1576" i="1"/>
  <c r="E1576" i="1"/>
  <c r="H1576" i="1"/>
  <c r="I1576" i="1"/>
  <c r="D1622" i="1"/>
  <c r="E1622" i="1"/>
  <c r="H1622" i="1"/>
  <c r="I1622" i="1"/>
  <c r="D1577" i="1"/>
  <c r="E1577" i="1"/>
  <c r="H1577" i="1"/>
  <c r="D1578" i="1"/>
  <c r="H1578" i="1"/>
  <c r="I1578" i="1"/>
  <c r="D1579" i="1"/>
  <c r="H1579" i="1"/>
  <c r="I1579" i="1"/>
  <c r="D1612" i="1"/>
  <c r="E1612" i="1"/>
  <c r="H1612" i="1"/>
  <c r="D1616" i="1"/>
  <c r="E1616" i="1"/>
  <c r="H1616" i="1"/>
  <c r="D1583" i="1"/>
  <c r="E1583" i="1"/>
  <c r="H1583" i="1"/>
  <c r="D1584" i="1"/>
  <c r="E1584" i="1"/>
  <c r="H1584" i="1"/>
  <c r="D1585" i="1"/>
  <c r="E1585" i="1"/>
  <c r="H1585" i="1"/>
  <c r="D1568" i="1"/>
  <c r="E1568" i="1"/>
  <c r="H1568" i="1"/>
  <c r="I1568" i="1"/>
  <c r="D1553" i="1"/>
  <c r="H1553" i="1"/>
  <c r="I1553" i="1"/>
  <c r="D1554" i="1"/>
  <c r="E1554" i="1"/>
  <c r="H1554" i="1"/>
  <c r="D1618" i="1"/>
  <c r="E1618" i="1"/>
  <c r="H1618" i="1"/>
  <c r="D1613" i="1"/>
  <c r="E1613" i="1"/>
  <c r="H1613" i="1"/>
  <c r="D1555" i="1"/>
  <c r="E1555" i="1"/>
  <c r="H1555" i="1"/>
  <c r="D1556" i="1"/>
  <c r="E1556" i="1"/>
  <c r="H1556" i="1"/>
  <c r="D1557" i="1"/>
  <c r="E1557" i="1"/>
  <c r="H1557" i="1"/>
  <c r="D1558" i="1"/>
  <c r="E1558" i="1"/>
  <c r="H1558" i="1"/>
  <c r="D1559" i="1"/>
  <c r="E1559" i="1"/>
  <c r="H1559" i="1"/>
  <c r="D1560" i="1"/>
  <c r="E1560" i="1"/>
  <c r="H1560" i="1"/>
  <c r="D1586" i="1"/>
  <c r="E1586" i="1"/>
  <c r="H1586" i="1"/>
  <c r="D1587" i="1"/>
  <c r="E1587" i="1"/>
  <c r="H1587" i="1"/>
  <c r="D1588" i="1"/>
  <c r="E1588" i="1"/>
  <c r="H1588" i="1"/>
  <c r="D1617" i="1"/>
  <c r="E1617" i="1"/>
  <c r="H1617" i="1"/>
  <c r="D1610" i="1"/>
  <c r="E1610" i="1"/>
  <c r="H1610" i="1"/>
  <c r="D1611" i="1"/>
  <c r="E1611" i="1"/>
  <c r="H1611" i="1"/>
  <c r="D1561" i="1"/>
  <c r="E1561" i="1"/>
  <c r="H1561" i="1"/>
  <c r="D1562" i="1"/>
  <c r="E1562" i="1"/>
  <c r="H1562" i="1"/>
  <c r="D1590" i="1"/>
  <c r="E1590" i="1"/>
  <c r="H1590" i="1"/>
  <c r="I1590" i="1"/>
  <c r="D1619" i="1"/>
  <c r="H1619" i="1"/>
  <c r="I1619" i="1"/>
  <c r="D1620" i="1"/>
  <c r="H1620" i="1"/>
  <c r="I1620" i="1"/>
  <c r="D1637" i="1"/>
  <c r="E1637" i="1"/>
  <c r="H1637" i="1"/>
  <c r="D1563" i="1"/>
  <c r="H1563" i="1"/>
  <c r="D1564" i="1"/>
  <c r="H1564" i="1"/>
  <c r="D1565" i="1"/>
  <c r="H1565" i="1"/>
  <c r="I1565" i="1"/>
  <c r="D1589" i="1"/>
  <c r="H1589" i="1"/>
  <c r="D1608" i="1"/>
  <c r="E1608" i="1"/>
  <c r="H1608" i="1"/>
  <c r="I1608" i="1"/>
  <c r="D1614" i="1"/>
  <c r="H1614" i="1"/>
  <c r="I1614" i="1"/>
  <c r="D1638" i="1"/>
  <c r="E1638" i="1"/>
  <c r="H1638" i="1"/>
  <c r="I1638" i="1"/>
  <c r="D1607" i="1"/>
  <c r="H1607" i="1"/>
  <c r="I1607" i="1"/>
  <c r="D1639" i="1"/>
  <c r="E1639" i="1"/>
  <c r="H1639" i="1"/>
  <c r="I1639" i="1"/>
  <c r="D1621" i="1"/>
  <c r="E1621" i="1"/>
  <c r="H1621" i="1"/>
  <c r="D1580" i="1"/>
  <c r="H1580" i="1"/>
  <c r="I1580" i="1"/>
  <c r="D1591" i="1"/>
  <c r="H1591" i="1"/>
  <c r="D1615" i="1"/>
  <c r="H1615" i="1"/>
  <c r="I1615" i="1"/>
  <c r="D1636" i="1"/>
  <c r="H1636" i="1"/>
  <c r="I1636" i="1"/>
  <c r="D1635" i="1"/>
  <c r="H1635" i="1"/>
  <c r="I1635" i="1"/>
  <c r="D1623" i="1"/>
  <c r="E1623" i="1"/>
  <c r="H1623" i="1"/>
  <c r="I1623" i="1"/>
  <c r="D1569" i="1"/>
  <c r="E1569" i="1"/>
  <c r="H1569" i="1"/>
  <c r="D1570" i="1"/>
  <c r="H1570" i="1"/>
  <c r="I1570" i="1"/>
  <c r="D1571" i="1"/>
  <c r="E1571" i="1"/>
  <c r="H1571" i="1"/>
  <c r="I1571" i="1"/>
  <c r="D1572" i="1"/>
  <c r="E1572" i="1"/>
  <c r="H1572" i="1"/>
  <c r="D1573" i="1"/>
  <c r="E1573" i="1"/>
  <c r="H1573" i="1"/>
  <c r="D1566" i="1"/>
  <c r="H1566" i="1"/>
  <c r="I1566" i="1"/>
  <c r="D1567" i="1"/>
  <c r="H1567" i="1"/>
  <c r="I1567" i="1"/>
  <c r="D1592" i="1"/>
  <c r="H1592" i="1"/>
  <c r="I1592" i="1"/>
  <c r="D1593" i="1"/>
  <c r="H1593" i="1"/>
  <c r="I1593" i="1"/>
  <c r="D1594" i="1"/>
  <c r="H1594" i="1"/>
  <c r="I1594" i="1"/>
  <c r="D1595" i="1"/>
  <c r="H1595" i="1"/>
  <c r="I1595" i="1"/>
  <c r="D1659" i="1"/>
  <c r="H1659" i="1"/>
  <c r="I1659" i="1"/>
  <c r="D1640" i="1"/>
  <c r="H1640" i="1"/>
  <c r="I1640" i="1"/>
  <c r="D1693" i="1"/>
  <c r="H1693" i="1"/>
  <c r="I1693" i="1"/>
  <c r="D1694" i="1"/>
  <c r="H1694" i="1"/>
  <c r="I1694" i="1"/>
  <c r="D1695" i="1"/>
  <c r="E1695" i="1"/>
  <c r="H1695" i="1"/>
  <c r="D1641" i="1"/>
  <c r="E1641" i="1"/>
  <c r="H1641" i="1"/>
  <c r="D1642" i="1"/>
  <c r="E1642" i="1"/>
  <c r="H1642" i="1"/>
  <c r="D1696" i="1"/>
  <c r="E1696" i="1"/>
  <c r="H1696" i="1"/>
  <c r="D1643" i="1"/>
  <c r="H1643" i="1"/>
  <c r="D1697" i="1"/>
  <c r="E1697" i="1"/>
  <c r="H1697" i="1"/>
  <c r="D1644" i="1"/>
  <c r="E1644" i="1"/>
  <c r="H1644" i="1"/>
  <c r="D1698" i="1"/>
  <c r="H1698" i="1"/>
  <c r="I1698" i="1"/>
  <c r="D1699" i="1"/>
  <c r="E1699" i="1"/>
  <c r="H1699" i="1"/>
  <c r="D1702" i="1"/>
  <c r="H1702" i="1"/>
  <c r="I1702" i="1"/>
  <c r="D1645" i="1"/>
  <c r="E1645" i="1"/>
  <c r="H1645" i="1"/>
  <c r="I1645" i="1"/>
  <c r="D1710" i="1"/>
  <c r="E1710" i="1"/>
  <c r="H1710" i="1"/>
  <c r="D1658" i="1"/>
  <c r="E1658" i="1"/>
  <c r="H1658" i="1"/>
  <c r="D1703" i="1"/>
  <c r="E1703" i="1"/>
  <c r="H1703" i="1"/>
  <c r="D1655" i="1"/>
  <c r="E1655" i="1"/>
  <c r="H1655" i="1"/>
  <c r="I1655" i="1"/>
  <c r="D1656" i="1"/>
  <c r="E1656" i="1"/>
  <c r="H1656" i="1"/>
  <c r="I1656" i="1"/>
  <c r="D1711" i="1"/>
  <c r="E1711" i="1"/>
  <c r="H1711" i="1"/>
  <c r="D1712" i="1"/>
  <c r="E1712" i="1"/>
  <c r="H1712" i="1"/>
  <c r="D1660" i="1"/>
  <c r="E1660" i="1"/>
  <c r="H1660" i="1"/>
  <c r="D1649" i="1"/>
  <c r="E1649" i="1"/>
  <c r="H1649" i="1"/>
  <c r="D1661" i="1"/>
  <c r="E1661" i="1"/>
  <c r="H1661" i="1"/>
  <c r="D1688" i="1"/>
  <c r="E1688" i="1"/>
  <c r="H1688" i="1"/>
  <c r="D1692" i="1"/>
  <c r="E1692" i="1"/>
  <c r="H1692" i="1"/>
  <c r="I1692" i="1"/>
  <c r="D1686" i="1"/>
  <c r="E1686" i="1"/>
  <c r="H1686" i="1"/>
  <c r="I1686" i="1"/>
  <c r="D1646" i="1"/>
  <c r="E1646" i="1"/>
  <c r="H1646" i="1"/>
  <c r="D1647" i="1"/>
  <c r="E1647" i="1"/>
  <c r="H1647" i="1"/>
  <c r="D1704" i="1"/>
  <c r="E1704" i="1"/>
  <c r="H1704" i="1"/>
  <c r="D1700" i="1"/>
  <c r="E1700" i="1"/>
  <c r="H1700" i="1"/>
  <c r="D1705" i="1"/>
  <c r="E1705" i="1"/>
  <c r="H1705" i="1"/>
  <c r="D1648" i="1"/>
  <c r="E1648" i="1"/>
  <c r="H1648" i="1"/>
  <c r="I1648" i="1"/>
  <c r="D1657" i="1"/>
  <c r="E1657" i="1"/>
  <c r="H1657" i="1"/>
  <c r="I1657" i="1"/>
  <c r="D1701" i="1"/>
  <c r="H1701" i="1"/>
  <c r="I1701" i="1"/>
  <c r="D1689" i="1"/>
  <c r="H1689" i="1"/>
  <c r="I1689" i="1"/>
  <c r="D1650" i="1"/>
  <c r="E1650" i="1"/>
  <c r="H1650" i="1"/>
  <c r="D1651" i="1"/>
  <c r="E1651" i="1"/>
  <c r="H1651" i="1"/>
  <c r="D1662" i="1"/>
  <c r="E1662" i="1"/>
  <c r="H1662" i="1"/>
  <c r="D1663" i="1"/>
  <c r="E1663" i="1"/>
  <c r="H1663" i="1"/>
  <c r="D1706" i="1"/>
  <c r="H1706" i="1"/>
  <c r="I1706" i="1"/>
  <c r="D1707" i="1"/>
  <c r="E1707" i="1"/>
  <c r="H1707" i="1"/>
  <c r="D1664" i="1"/>
  <c r="E1664" i="1"/>
  <c r="H1664" i="1"/>
  <c r="D1665" i="1"/>
  <c r="H1665" i="1"/>
  <c r="I1665" i="1"/>
  <c r="D1666" i="1"/>
  <c r="H1666" i="1"/>
  <c r="I1666" i="1"/>
  <c r="D1667" i="1"/>
  <c r="E1667" i="1"/>
  <c r="H1667" i="1"/>
  <c r="D1668" i="1"/>
  <c r="E1668" i="1"/>
  <c r="H1668" i="1"/>
  <c r="I1668" i="1"/>
  <c r="D1669" i="1"/>
  <c r="H1669" i="1"/>
  <c r="I1669" i="1"/>
  <c r="D1690" i="1"/>
  <c r="H1690" i="1"/>
  <c r="D1652" i="1"/>
  <c r="E1652" i="1"/>
  <c r="H1652" i="1"/>
  <c r="D1670" i="1"/>
  <c r="E1670" i="1"/>
  <c r="H1670" i="1"/>
  <c r="D1671" i="1"/>
  <c r="E1671" i="1"/>
  <c r="H1671" i="1"/>
  <c r="D1672" i="1"/>
  <c r="E1672" i="1"/>
  <c r="H1672" i="1"/>
  <c r="D1653" i="1"/>
  <c r="E1653" i="1"/>
  <c r="H1653" i="1"/>
  <c r="D1691" i="1"/>
  <c r="E1691" i="1"/>
  <c r="H1691" i="1"/>
  <c r="D1673" i="1"/>
  <c r="E1673" i="1"/>
  <c r="H1673" i="1"/>
  <c r="D1674" i="1"/>
  <c r="E1674" i="1"/>
  <c r="H1674" i="1"/>
  <c r="D1675" i="1"/>
  <c r="E1675" i="1"/>
  <c r="H1675" i="1"/>
  <c r="D1676" i="1"/>
  <c r="E1676" i="1"/>
  <c r="H1676" i="1"/>
  <c r="D1677" i="1"/>
  <c r="E1677" i="1"/>
  <c r="H1677" i="1"/>
  <c r="D1678" i="1"/>
  <c r="E1678" i="1"/>
  <c r="H1678" i="1"/>
  <c r="D1679" i="1"/>
  <c r="E1679" i="1"/>
  <c r="H1679" i="1"/>
  <c r="D1680" i="1"/>
  <c r="E1680" i="1"/>
  <c r="H1680" i="1"/>
  <c r="D1708" i="1"/>
  <c r="E1708" i="1"/>
  <c r="H1708" i="1"/>
  <c r="D1709" i="1"/>
  <c r="E1709" i="1"/>
  <c r="H1709" i="1"/>
  <c r="D1681" i="1"/>
  <c r="E1681" i="1"/>
  <c r="H1681" i="1"/>
  <c r="D1654" i="1"/>
  <c r="E1654" i="1"/>
  <c r="H1654" i="1"/>
  <c r="D1682" i="1"/>
  <c r="E1682" i="1"/>
  <c r="H1682" i="1"/>
  <c r="D1683" i="1"/>
  <c r="E1683" i="1"/>
  <c r="H1683" i="1"/>
  <c r="D1684" i="1"/>
  <c r="E1684" i="1"/>
  <c r="H1684" i="1"/>
  <c r="D1685" i="1"/>
  <c r="E1685" i="1"/>
  <c r="H1685" i="1"/>
  <c r="D1687" i="1"/>
  <c r="E1687" i="1"/>
  <c r="H1687" i="1"/>
  <c r="D1715" i="1"/>
  <c r="H1715" i="1"/>
  <c r="I1715" i="1"/>
  <c r="D1716" i="1"/>
  <c r="E1716" i="1"/>
  <c r="H1716" i="1"/>
  <c r="I1716" i="1"/>
  <c r="D1713" i="1"/>
  <c r="H1713" i="1"/>
  <c r="I1713" i="1"/>
  <c r="D1714" i="1"/>
  <c r="H1714" i="1"/>
  <c r="I1714" i="1"/>
  <c r="D1717" i="1"/>
  <c r="H1717" i="1"/>
  <c r="I1717" i="1"/>
  <c r="D1719" i="1"/>
  <c r="H1719" i="1"/>
  <c r="D1724" i="1"/>
  <c r="H1724" i="1"/>
  <c r="I1724" i="1"/>
  <c r="D1725" i="1"/>
  <c r="H1725" i="1"/>
  <c r="I1725" i="1"/>
  <c r="D1726" i="1"/>
  <c r="H1726" i="1"/>
  <c r="I1726" i="1"/>
  <c r="D1727" i="1"/>
  <c r="E1727" i="1"/>
  <c r="H1727" i="1"/>
  <c r="D1721" i="1"/>
  <c r="H1721" i="1"/>
  <c r="I1721" i="1"/>
  <c r="D1720" i="1"/>
  <c r="E1720" i="1"/>
  <c r="H1720" i="1"/>
  <c r="D1723" i="1"/>
  <c r="E1723" i="1"/>
  <c r="H1723" i="1"/>
  <c r="D1718" i="1"/>
  <c r="E1718" i="1"/>
  <c r="H1718" i="1"/>
  <c r="D1722" i="1"/>
  <c r="H1722" i="1"/>
  <c r="I1722" i="1"/>
  <c r="D1728" i="1"/>
  <c r="E1728" i="1"/>
  <c r="H1728" i="1"/>
  <c r="I1728" i="1"/>
  <c r="D1729" i="1"/>
  <c r="E1729" i="1"/>
  <c r="H1729" i="1"/>
  <c r="D1730" i="1"/>
  <c r="E1730" i="1"/>
  <c r="H1730" i="1"/>
  <c r="D1731" i="1"/>
  <c r="E1731" i="1"/>
  <c r="H1731" i="1"/>
  <c r="D1732" i="1"/>
  <c r="E1732" i="1"/>
  <c r="H1732" i="1"/>
  <c r="D1733" i="1"/>
  <c r="H1733" i="1"/>
  <c r="I1733" i="1"/>
  <c r="D1734" i="1"/>
  <c r="H1734" i="1"/>
  <c r="I1734" i="1"/>
  <c r="D1735" i="1"/>
  <c r="E1735" i="1"/>
  <c r="H1735" i="1"/>
  <c r="D1736" i="1"/>
  <c r="H1736" i="1"/>
  <c r="I1736" i="1"/>
  <c r="D1737" i="1"/>
  <c r="H1737" i="1"/>
</calcChain>
</file>

<file path=xl/sharedStrings.xml><?xml version="1.0" encoding="utf-8"?>
<sst xmlns="http://schemas.openxmlformats.org/spreadsheetml/2006/main" count="32915" uniqueCount="11060">
  <si>
    <t>STATE</t>
  </si>
  <si>
    <t>STATION NAME - LEA</t>
  </si>
  <si>
    <t>REQUISITION ID</t>
  </si>
  <si>
    <t>FSC</t>
  </si>
  <si>
    <t>NIIN</t>
  </si>
  <si>
    <t>ITEM NAME</t>
  </si>
  <si>
    <t>UI</t>
  </si>
  <si>
    <t>QUANTITY</t>
  </si>
  <si>
    <t>ACQUISITION VALUE</t>
  </si>
  <si>
    <t>DATE SHIPPED</t>
  </si>
  <si>
    <t>JUSTIFICATION</t>
  </si>
  <si>
    <t>AK</t>
  </si>
  <si>
    <t>AK DPS (2YTPEJ)</t>
  </si>
  <si>
    <t>2YTPEJ51926509</t>
  </si>
  <si>
    <t>UNMANNED VEHICLE,GROUND</t>
  </si>
  <si>
    <t>EA</t>
  </si>
  <si>
    <t>THIS ROBOT ENHANCES OFFICER SAFETY AND OPERATIONAL CAPABILITY DURING EOD AND SWAT MISSIONS BY ENABLING REMOTE RECONNAISSANCE, BREACHING, AND HAZARD MITIGATION, REDUCING HUMAN EXPOSURE.</t>
  </si>
  <si>
    <t>2YTPEJ51645777</t>
  </si>
  <si>
    <t>TOOL KIT,SMALL ARMS</t>
  </si>
  <si>
    <t>KT</t>
  </si>
  <si>
    <t>TOOL KIT, SMALL ARMS WILL BE USED BY ALASKA STATE TROOPERS FIREARM ARMORERS FOR SERVICING, INSPECTING, REPAIRING AND MAINTAINING SMALL ARMS.</t>
  </si>
  <si>
    <t>2YTPEJ51575781</t>
  </si>
  <si>
    <t>HEADSET-MICROPHONE</t>
  </si>
  <si>
    <t>HEADSET MICROPHONE, THESE TACTICAL COMMUNICATION AND PROTECTION SYSTEMS WILL BE WORN BY ALASKA STATE TROOPERS AS PROTECTIVE EQUIPMENT FROM FIREARM AND EXPLOSIVE BREACHING NOISE WHILE AT THE SAME TIME FACILITATING COMMUNICATION AMONG TEAM MEMBERS, ON SCENE SUPERVISORS, AND DISPATCH CENTERS.</t>
  </si>
  <si>
    <t>2YTPEJ52279852</t>
  </si>
  <si>
    <t>DSTRETCHE</t>
  </si>
  <si>
    <t>MEDICAL LITTER AND STRETCHERS</t>
  </si>
  <si>
    <t>MEDICAL LITTER AND STRETCHERS, THESE LIGHTWEIGHT, PACKABLE STRETCHERS WILL BE ISSUED TO AST AND AWT FOR USE IN EVACUATING INJURED AND DECEASED INDIVIDUALS DURING SEARCH AND RESCUE OPERATIONS OR REMOTE ATV ACCIDENTS.</t>
  </si>
  <si>
    <t>2YTPEJ52279850</t>
  </si>
  <si>
    <t>PACK,MEDICAL TRAUMA</t>
  </si>
  <si>
    <t>PACK,MEDICAL TRAUMA, THIS MEDICAL BAG WILL BE USED BY ALASKA STATE TROOPER SWAT MEDICS FOR TEAM MEDICAL AID DURING RESPONSE TO CRITICAL INCIDENTS.  THERE ARE MULTIPLE SWAT TEAMS ACROSS THE STATE.</t>
  </si>
  <si>
    <t>2YTPEJ51645775</t>
  </si>
  <si>
    <t>WARRIOR AID LITTER</t>
  </si>
  <si>
    <t>WARRIOR AID LITTER, THIS MEDICAL BAG WILL BE USED BY ALASKA STATE TROOPER SWAT MEDICS FOR TEAM MEDICAL AID DURING RESPONSE TO CRITICAL INCIDENTS.</t>
  </si>
  <si>
    <t>2YTPEJ51575780</t>
  </si>
  <si>
    <t>2YTPEJ51787239</t>
  </si>
  <si>
    <t>2YTPEJ51787240</t>
  </si>
  <si>
    <t>WARRIOR AID LITTER, THIS MEDICAL BAG WILL BE USED BY ALASKA STATE TROOPER SWAT MEDICS FOR TEAM MEDICAL AID DURING RESPONSE TO CRITICAL INCIDENTS.  THERE ARE MULTIPLE SWAT TEAMS ACROSS THE STATE.</t>
  </si>
  <si>
    <t>2YTPEJ51575779</t>
  </si>
  <si>
    <t>METAL DETECTOR</t>
  </si>
  <si>
    <t>METAL DETECTOR, WILL BE USED BY ALASKA STATE TROOPERS FOR CRIME SCENE INVESTIGATIONS, LOCATING ILLICIT GRAVES, SEARCH AND RESCUE OPERATIONS, AND UNDERWATER EVIDENCE RECOVERY.</t>
  </si>
  <si>
    <t>2YTPEJ51716508</t>
  </si>
  <si>
    <t>DSTREADM1</t>
  </si>
  <si>
    <t>TREADMILL</t>
  </si>
  <si>
    <t>CARDIO EQUIPMENT IS ESSENTIAL FOR MAINTAINING TROOPER PHYSICAL READINESS AND INJURY PREVENTION, DIRECTLY SUPPORTING MISSION READINESS AND OPERATIONAL PERFORMANCE IN REMOTE, HIGH-RISK ENVIRONMENTS STATEWIDE.</t>
  </si>
  <si>
    <t>2YTPEJ51716506</t>
  </si>
  <si>
    <t>DSPRESS00</t>
  </si>
  <si>
    <t>BENCH PRESS</t>
  </si>
  <si>
    <t>WEIGHT LIFTING EQUIPMENT IS ESSENTIAL FOR MAINTAINING TROOPER PHYSICAL READINESS AND INJURY PREVENTION, DIRECTLY SUPPORTING MISSION READINESS AND OPERATIONAL PERFORMANCE IN REMOTE, HIGH-RISK ENVIRONMENTS STATEWIDE.</t>
  </si>
  <si>
    <t>2YTPEJ51716505</t>
  </si>
  <si>
    <t>DSLEGCURL</t>
  </si>
  <si>
    <t>LEG CURL</t>
  </si>
  <si>
    <t>2YTPEJ51787244</t>
  </si>
  <si>
    <t>TACTICAL ASSAULT PA</t>
  </si>
  <si>
    <t>ASSAULT PACK WILL BE USED BY ALASKA STATE TROOPERS FOR SWAT MISSIONS, ATV PATROLS, SEARCH AND RESCUE, OVERNIGHT MISSIONS TO REMOTE VILLAGES, AND GENERAL MISSION GEAR ORGANIZATION AND TRANSPORTATION.</t>
  </si>
  <si>
    <t>2YTPEJ51857243</t>
  </si>
  <si>
    <t>2YTPEJ51857241</t>
  </si>
  <si>
    <t>RUCKSACK MEDIUM (OCP) SET</t>
  </si>
  <si>
    <t>SE</t>
  </si>
  <si>
    <t>RUCKSACK MEDIUM SET WILL BE USED BY ALASKA STATE TROOPERS FOR REMOTE MISSIONS INCLUDING SEARCH AND RESCUE, OVERNIGHT MISSIONS TO REMOTE VILLAGES, SWAT RURAL DEPLOYMENTS, AND GENERAL MISSION GEAR ORGANIZATION AND TRANSPORTATION.</t>
  </si>
  <si>
    <t>2YTPEJ51857242</t>
  </si>
  <si>
    <t>2YTPEJ51222213</t>
  </si>
  <si>
    <t>DSPAPERBR</t>
  </si>
  <si>
    <t>PAPER AND PAPERBOARD</t>
  </si>
  <si>
    <t>THE ALASKA STATE TROOPERS WILL USE THE ROLLS OF PAPER TO PROCESS, WRAP, AND SECURE EVIDENCE THAT NEEDS TO BREATH (I.E. WET BIOLOGICAL EVIDENCE THAT NEEDS TO DRY TO AVOID MOLDING AND DESTROYING THE EVIDENTIARY VALUE OF THE ITEM.)</t>
  </si>
  <si>
    <t>ANCHORAGE POLICE DEPARTMENT (2YTN5E)</t>
  </si>
  <si>
    <t>2YTN5E51855416</t>
  </si>
  <si>
    <t>PACKBOT 510 WITH FASTAC REMOTELY CONTROL</t>
  </si>
  <si>
    <t>FOR USE BY THE ANCHORAGE BOMB SQUAD. THESE ROBOTIC PLATFORMS WILL BE UTILIZED FOR REMOTE OPERATIONS WHERE IMPROVISED EXPLOSIVE DEVICES ARE SUSPECTED TO BE PRESENT FOR RENDER SAFE PROCEDURES. THESE ROBOTS WILL BE TRANSPORTED BY TEAM MEMBERS AND DEPLOYED AS NEEDED IN ENVIRONMENTS WHERE BOMB TECHNICIANS CANNOT SAFELY ENTER UNTIL CLEARED BY THE ROBOT.</t>
  </si>
  <si>
    <t>2YTN5E51857302</t>
  </si>
  <si>
    <t>DSTRAILE1</t>
  </si>
  <si>
    <t>TRAILER</t>
  </si>
  <si>
    <t>FOR USE BY THE ANCHORAGE POLICE DEPARTMENT SPECIAL OPERATIONS DIVISION. THIS TRAILER WILL BE UTILIZED AS A MOBILE RESPONSE COMMAND POST FOR UAV PILOTS TO OPERATE FROM. THIS WILL BE UTILIZED FOR HIGH RISK APPREHENSIONS OF VIOLENT SUSPECTS AND FOR DEPLOYMENT OF UAV'S.</t>
  </si>
  <si>
    <t>2YTN5E52278479</t>
  </si>
  <si>
    <t>FOR USE BY THE ANCHORAGE POLICE DEPARTMENT BOMB SQUAD. THESE ROBOTIC PLATFORMS WILL BE UTILIZED FOR REMOTE OPERATIONS WHEN THE ENVIRONMENT IS TO VOLATILE FOR A PERSON. THE ROBOTS WILL BE USED FOR RECON, VISION, AND DISRUPTION OF SUSPECTED IED'S OR UXO.</t>
  </si>
  <si>
    <t>2YTN5E51505415</t>
  </si>
  <si>
    <t>DSNOWBLOW</t>
  </si>
  <si>
    <t>SNOW BLOWER</t>
  </si>
  <si>
    <t>FOR USE BY THE ANCHORAGE POLICE DEPARTMENT FOR SNOW CLEARING DURING INCLEMENT WEATHER AT POLICE HEADQUARTERS.</t>
  </si>
  <si>
    <t>2YTN5E51928270</t>
  </si>
  <si>
    <t>DSCHAIN00</t>
  </si>
  <si>
    <t>CHAIN</t>
  </si>
  <si>
    <t>FOR USE BY THE ANCHORAGE POLICE DEPARTMENT FOR WINTER DRIVING CONDITIONS, RESCUING VEHICLES IN DISTRESS WHICH HAVE GOTTEN STUCK IN SNOW.</t>
  </si>
  <si>
    <t>2YTN5E51928271</t>
  </si>
  <si>
    <t>2YTN5E5192JG11</t>
  </si>
  <si>
    <t>TOOL KIT,CARPENTER'</t>
  </si>
  <si>
    <t>2YTN5E51716512</t>
  </si>
  <si>
    <t>FOR USE BY THE ANCHORAGE POLICE DEPARTMENT IN PHYSICAL FITNESS TRAINING AND ASSESSMENT. THIS WILL BE UTILIZED BY LAW ENFORCEMENT PERSONNEL FOR CARDIO VASCULAR FITNESS AND STRENGTH TRAINING.</t>
  </si>
  <si>
    <t>2YTN5E51716515</t>
  </si>
  <si>
    <t>DSRECGYME</t>
  </si>
  <si>
    <t>RECREATIONAL AND GYMNASTIC EQUIPMENT</t>
  </si>
  <si>
    <t>FOR USE BY THE ANCHORAGE POLICE DEPARTMENT IN STRENGTH TRAINING AND CARDIO VASCULAR FITNESS ASSESSMENT. THIS EQUIPMENT WILL BE UTILIZED BY LAW ENFORCEMENT PERSONNEL FOR GENERAL FITNESS.</t>
  </si>
  <si>
    <t>2YTN5E51716513</t>
  </si>
  <si>
    <t>AL</t>
  </si>
  <si>
    <t>ALABAMA LAW ENFORCEMENT AGENCY (2YTN4N)</t>
  </si>
  <si>
    <t>2YTN4N52349041</t>
  </si>
  <si>
    <t>TRUNNION ASSEMBLY,T</t>
  </si>
  <si>
    <t>THE ALABAMA LAW ENFORCEMENT AGENCY CURRENTLY OPERATES A FLEET OF EIGHT OH58 HELICOPTERS.  THE UNIT SUPPORTS STATE, LOCAL AND FEDERAL AGENCIES IN A LAW ENFORCEMENT CAPACITY.  THESE AIRCRAFT ARE USED FOR SEARCHES FOR MISSING CHILDREN, MISSING ALZHEIMER'S PATIENTS, AND FLEEING FUGITIVES.  WE ALSO SUPPORT DRUG ERADICATION PROGRAMS AND HOMELAND SECURITY MISSIONS.  THESE PARTS WILL CONTINUE TO SUSTAIN UNIT OPERATIONS FOR THE FUTURE.</t>
  </si>
  <si>
    <t>2YTN4N52419040</t>
  </si>
  <si>
    <t>GEARSHAFT,SPUR</t>
  </si>
  <si>
    <t>2YTN4N52552054</t>
  </si>
  <si>
    <t>SEAL ASSEMBLY,TRANS</t>
  </si>
  <si>
    <t>2YTN4N52552055</t>
  </si>
  <si>
    <t>SWITCH,PRESSURE</t>
  </si>
  <si>
    <t>ASHVILLE POLICE DEPT (2YTN5W)</t>
  </si>
  <si>
    <t>2YTN5W52481606</t>
  </si>
  <si>
    <t>FIRING DEVICE,NON-LETHAL</t>
  </si>
  <si>
    <t>USE BY THE ASHVILLE POLICE DEPARTMENT FOR NON-LETHAL OPTIONS TO PROVIDE TO PATROL OFFICERS.</t>
  </si>
  <si>
    <t>2YTN5W52481605</t>
  </si>
  <si>
    <t>BOAZ POLICE DEPT (2YTBCH)</t>
  </si>
  <si>
    <t>2YTBCH52279735</t>
  </si>
  <si>
    <t>BATON, TACTICAL ASP</t>
  </si>
  <si>
    <t>WE ARE BOAZ POLICE. THESE MAY BE USEFUL FOR MY OFFICERS IN SITUATIONS THAT VERY DANGEROUS. THEY MAY PROTECT OR DEFEND  IN MANY WAYS. I WOULD TO REQUEST ALL 4 AT THIS TIME. WE MAY CAN ALSO USE THEM IN TRAINING OFFICERS TO DEFEND AGAINST SUCH WEAPONS. THANK YOU FOR YOUR CONSIDERATION.</t>
  </si>
  <si>
    <t>2YTBCH52138643</t>
  </si>
  <si>
    <t>TRUCK,STAKE</t>
  </si>
  <si>
    <t>WE ARE THE BOAZ POLICE DEPT. WE HAVE BEEN TASKED WITH BUILDING A MECHANICS GARAGE. THE PROBLEM IS A LACK OF VEHICLES TO TRANSPORT, PICK UP EQUIPMENT. EXAMPLES, TIRES, MOTORS, TOOL BOXES, TOOLS. CREATING A FULL MECHANIC GARAGE IS A HUGE UNDERTAKING AND GATHER REQUIRED ITEMS. OF COURSE, POLICE USE ALSO REQUIRES OUR VEHICLES SERVE MULTIPLE PURPOSES. THIS IS ALSO CAPABLE OF STORING AND TRANSPORTING EVIDENCE USED IN CRIMES, AND MUST BE LOCKED, SEALED AND PROTECTED IN TRANSPORT. THANK YOU.</t>
  </si>
  <si>
    <t>2YTBCH52139571</t>
  </si>
  <si>
    <t>TRUCK,VAN</t>
  </si>
  <si>
    <t>TO TRANSPORT PERSONNEL TO AND FROM TRAINING CLASSES AND TO ASSIST AND AID IN QUICK EVACUATION OF EMERGENCY SITUATIONS</t>
  </si>
  <si>
    <t>2YTBCH51928002</t>
  </si>
  <si>
    <t>DSRECYCLE</t>
  </si>
  <si>
    <t>RECYCLING AND RECLAMATION EQUIPMENT</t>
  </si>
  <si>
    <t>OUR POLICE DEPARTMENT IS CURRENTLY PUTTING TOGETHER A MECHANICS GARAGE. WE HAVE THE PERFECT BUILDING AND BAY, BUT HAVE NO EQUIPMENT. OUR INTENTIONS WITH THIS ITEM IS TO HAVE A THE ABILITY TO FIX, MAINTAIN, OUR FLEET OF ABOUT 30 PATROL UNITS. THIS WOULD SAVE US MONEY AND GIVE US THE ABILITY TO DO SO MUCH MORE ON OUR OWN. A GOOD SHOP HAS A WIDE VARIETY OF TOOLS AND ABILITIES. READY FOR THE MOMENT THAT THEY ARE NEEDED. THIS WOULD BENEFIT US GREATLY. THANK YOU FOR YOUR TIME.</t>
  </si>
  <si>
    <t>2YTBCH52279660</t>
  </si>
  <si>
    <t>DSCOMPRE1</t>
  </si>
  <si>
    <t>COMPRESSOR, AIR</t>
  </si>
  <si>
    <t>FOR THE USE OF INFLATING THE TIRES ON POLICE VEHICLES</t>
  </si>
  <si>
    <t>2YTBCH52279663</t>
  </si>
  <si>
    <t>DSHANDTOO</t>
  </si>
  <si>
    <t>HAND TOOLS, NONEDGED, NONPOWERED</t>
  </si>
  <si>
    <t>TO USE TO MAINTAIN THE MAINTENANCE AND SERVICE OF PATROL CARS.</t>
  </si>
  <si>
    <t>2YTBCH52209668</t>
  </si>
  <si>
    <t>MULTIMETER</t>
  </si>
  <si>
    <t>TO ASSIST AND AID IN THE TROBLE SHOOTING OF WIRING PROBLEMS ON POLICE EQUIPMENT</t>
  </si>
  <si>
    <t>2YTBCH52279734</t>
  </si>
  <si>
    <t>CASE,HANDCUFFS</t>
  </si>
  <si>
    <t>WE ARE BOAZ POLICE. WE ARE ALWAYS SHORT ON HANDCUFFS FOR COURT. WE ARE ALSO OFTEN SHORT IN THE FIELD. THESE COULD HELP OUR DEPARTMENT WITH ARREST IN LARGE DRUG INTERDICTION EVENTS, AND OTHER EVENTS WHERE MANY HANDCUFFS WOULD INSTANTLY BE HELPFUL SECURING THE SITUATION AND ENSURING OFFICER SAFETY. THANK YOU FOR YOUR CONSIDERATION. IT SAYS THERE ARE SIX AVAILABLE AND I WOULD TO REQUEST ALL 6, THANK YOU</t>
  </si>
  <si>
    <t>BUTLER CSO (2YTBQJ)</t>
  </si>
  <si>
    <t>2YTBQJ52138838</t>
  </si>
  <si>
    <t>CLEANING KIT,GUN</t>
  </si>
  <si>
    <t>BUTLER COUNTY SHERIFF'S OFFICE WILL UTILIZE THIS EQUIPMENT TO CLEAN DEPARTMENT FIREARMS.</t>
  </si>
  <si>
    <t>2YTBQJ52341242</t>
  </si>
  <si>
    <t>DSGENERA0</t>
  </si>
  <si>
    <t>GENERATOR</t>
  </si>
  <si>
    <t>BUTLER COUNTY SHERIFF'S OFFICE WILL USE THIS EQUIPMENT DURING NATURAL DISASTERS, EMERGENCIES, TO PROVIDE POWER TO OUR OFFICE BUILDING.</t>
  </si>
  <si>
    <t>2YTBQJ51716824</t>
  </si>
  <si>
    <t>DSWELDER0</t>
  </si>
  <si>
    <t>ELECTRIC ARC WELDING EQUIPMENT</t>
  </si>
  <si>
    <t>BUTLER COUNTY SHERIFF'S OFFICE WILL UTILIZE THIS EQUIPMENT TO MAKE REPAIRS TO EQUIPMENT, PATROL VEHICLE BRUSH GUARDS, AND ANY OTHER EQUIPMENT THAT NEEDS TO BE WELDED. EQUIPMENT WILL BE PLACED IN THE REPAIR FACILITY.</t>
  </si>
  <si>
    <t>2YTBQJ52069014</t>
  </si>
  <si>
    <t>DSFORKLIF</t>
  </si>
  <si>
    <t>FORKLIFT</t>
  </si>
  <si>
    <t>BUTLER COUNTY SHERIFF'S OFFICE WILL USE THIS EQUIPMENT TO LOAD AND UNLOAD EQUIPMENT FROM TRAILERS.</t>
  </si>
  <si>
    <t>2YTBQJ52138843</t>
  </si>
  <si>
    <t>DSMHEMISC</t>
  </si>
  <si>
    <t>MISC MATERIALS HANDLING EQUIPMENT</t>
  </si>
  <si>
    <t>BUTLER COUNTY SHERIFF'S OFFICE WILL USE THIS EQUIPMENT TO CHANGE LIGHTS OUT INSIDE THE JAIL. AND ANY OTHER TIME IT WILL BE NEEDED DURING EMERGENCIES, NATURAL DISASTERS.</t>
  </si>
  <si>
    <t>2YTBQJ52059011</t>
  </si>
  <si>
    <t>LIFE PRESERVER,VEST</t>
  </si>
  <si>
    <t>BUTLER COUNTY SHERIFF'S OFFICE WILL UTILIZE THIS EQUIPMENT FOR WATER SEARCH AND RESCUE, AND IN ANY OTHER NATURAL DISASTER AND EMERGENCIES WHEN NEEDED.</t>
  </si>
  <si>
    <t>2YTBQJ52068845</t>
  </si>
  <si>
    <t>DSTOOLBOX</t>
  </si>
  <si>
    <t>TOOLBOX</t>
  </si>
  <si>
    <t>BUTLER COUNTY SHERIFF'S OFFICE WILL USE THIS EQUIPMENT TO SECURE TOOLS AND OTHER ITEMS IN.</t>
  </si>
  <si>
    <t>2YTBQJ52068949</t>
  </si>
  <si>
    <t>TOOL KIT,PIONEER,ENGINEER'S</t>
  </si>
  <si>
    <t>BUTLER COUNTY SHERIFF'S OFFICE WILL UTILIZE THIS EQUIPMENT DURING EMERGENCIES, NATURAL DISASTERS, SEARCH AND RESCUE. AND ANY OTHER TIME NEEDED.</t>
  </si>
  <si>
    <t>2YTBQJ52138842</t>
  </si>
  <si>
    <t>STRUCTURE,TENSION F</t>
  </si>
  <si>
    <t>BUTLER COUNTY SHERIFF'S OFFICE WILL SET THIS UP AT DEPARTMENT FIRING RANGE TO DO INSIDE CLASS.</t>
  </si>
  <si>
    <t>2YTBQJ52340631</t>
  </si>
  <si>
    <t>BARBED WIRE,CONCERT</t>
  </si>
  <si>
    <t>BUTLER COUNTY SHERIFF'S OFFICE WILL USE THIS EQUIPMENT AROUND THE FENCE OF DEPARTMENT EVIDENCE YARD.</t>
  </si>
  <si>
    <t>2YTBQJ51786879</t>
  </si>
  <si>
    <t>DSGENERA1</t>
  </si>
  <si>
    <t>GENERATORS AND GENERATOR SETS, ELECTRICA</t>
  </si>
  <si>
    <t>BUTLER COUNTY SHERIFF'S OFFICE WILL PLACE TO EQUIPMENT AT OUR EVIDENCE BUILDING AND REPAIR SHOP TO PROVIDE ELECTRICITY FOR CAMERAS AND SECURITY SYSTEM DURING POWER OUTAGES.</t>
  </si>
  <si>
    <t>2YTBQJ51786822</t>
  </si>
  <si>
    <t>DSLIGHT01</t>
  </si>
  <si>
    <t>ELECTRIC PORTABLE, HAND LIGHTING EQUIP</t>
  </si>
  <si>
    <t>BUTLER COUNTY SHERIFF'S OFFICE WILL UTILIZE THIS EQUIPMENT TO PROVIDE LIGHTS AT CRIME SCENE, NATURAL DISASTERS, EMERGENCIES.</t>
  </si>
  <si>
    <t>2YTBQJ52138841</t>
  </si>
  <si>
    <t>DSGYM0000</t>
  </si>
  <si>
    <t>GYM</t>
  </si>
  <si>
    <t>BUTLER COUNTY SHERIFF'S OFFICE WILL PLACE THIS EQUIPMENT IN DEPARTMENTAL GYM.</t>
  </si>
  <si>
    <t>2YTBQJ52138840</t>
  </si>
  <si>
    <t>2YTBQJ52139138</t>
  </si>
  <si>
    <t>BUTLER COUNTY SHERIFF'S OFFICE WILL PLACE THIS EQUIPMENT IN DEPARTMENT GYM.</t>
  </si>
  <si>
    <t>2YTBQJ51716831</t>
  </si>
  <si>
    <t>DSBENCH01</t>
  </si>
  <si>
    <t>GYM BENCH</t>
  </si>
  <si>
    <t>BUTLER COUNTY SHERIFF'S OFFICE WILL PLACE THIS EQUIPMENT IN DEPARTMENT GYM, FOR USE BY DEPUTIES.</t>
  </si>
  <si>
    <t>2YTBQJ51716826</t>
  </si>
  <si>
    <t>DSFRTCONT</t>
  </si>
  <si>
    <t>FREIGHT CONTAINERS</t>
  </si>
  <si>
    <t>BUTLER COUNTY SHERIFF'S OFFICE WILL USE THIS EQUIPMENT TO LOCK UP EQUIPMENT THATS NEEDS SECURING.</t>
  </si>
  <si>
    <t>2YTBQJ52059013</t>
  </si>
  <si>
    <t>DSBELT001</t>
  </si>
  <si>
    <t>INDIVIDUAL BELT</t>
  </si>
  <si>
    <t>BUTLER COUNTY SHERIFF'S OFFICE WILL ISSUE THIS EQUIPMENT TO DEPUTIES TO WEAR FOR DUTY BELTS.</t>
  </si>
  <si>
    <t>2YTBQJ52260630</t>
  </si>
  <si>
    <t>SLING,3 POINT COMBA</t>
  </si>
  <si>
    <t>BUTLER COUNTY SHERIFF'S OFFICE WILL ISSUE THESE TO DEPUTIES TO USE ON PATROL RIFLES.</t>
  </si>
  <si>
    <t>CLARKE COUNTY SHERIFFS OFFICE (2YTCFW)</t>
  </si>
  <si>
    <t>2YTCFW51857294</t>
  </si>
  <si>
    <t>RACK,STORAGE,SMALL</t>
  </si>
  <si>
    <t>THE CLARKE COUNTY SHERIFF'S OFFICE WOULD LIKE TO ACQUIRE THIS EQUIPMENT TO BE UTILIZED IN THE STORAGE AND SECURITY OF WEAPONS IN THE CCSO ARMORY AND EVIDENCE VAULT.</t>
  </si>
  <si>
    <t>2YTCFW52410989</t>
  </si>
  <si>
    <t>RANGE FINDER,LASER</t>
  </si>
  <si>
    <t>THE CLARKE COUNTY SHERIFF'S OFFICE WOULD LIKE TO ACQUIRE THIS EQUIPMENT TO BE UTILIZED FOR MEASURING DISTANCES DURING INVESTIGATIONS SUCH AS HOMICIDE, ASSAULT, RAPE, AND OTHER OFFENCES. THIS EQUIPMENT COULD ALSO BE USED TO RANGE DISTANCES BY OUR OFFICERS ASSIGNED TO THE SRT AS SNIPERS</t>
  </si>
  <si>
    <t>2YTCFW52068889</t>
  </si>
  <si>
    <t>GOGGLES,INDUSTRIAL</t>
  </si>
  <si>
    <t>THE CLARKE COUNTY SHERIFF'S OFFICE WOULD LIKE TO ACQUIRE THIS EQUIPMENT TO BE ISSUED TO OUR OFFICERS TO BE UTILIZED DURING INCLEMENT WEATHER CONDITIONS TO PROTECT VISION AND ENSURE THAT THEY ARE ABLE TO OPERATE AND CONDUCT ESSENTIAL MISSIONS ON REQUEST.</t>
  </si>
  <si>
    <t>2YTCFW52068891</t>
  </si>
  <si>
    <t>SPECTACLES,INDUSTRI</t>
  </si>
  <si>
    <t>THE CLARKE COUNTY SHERIFF'S OFFICE WOULD LIKE TO ACQUIRE THIS EQUIPMENT TO BE ISSUED TO OUR OFFICERS TO BE UTILIZED AS EYE PROTECTION ON A DAILY BASIS AS WELL AS DURING TRAINING EVOLUTIONS.</t>
  </si>
  <si>
    <t>2YTCFW52138774</t>
  </si>
  <si>
    <t>WRENCH SET,IMPACT,HAND</t>
  </si>
  <si>
    <t>THE CLARKE COUNTY SHERIFF'S OFFICE WOULD LIKE TO ACQUIRE THIS EQUIPMENT TO BE UTILIZED IN THE MAINTENANCE AND REPAIR OF SPECIALIZED EQUIPMENT.</t>
  </si>
  <si>
    <t>2YTCFW52138773</t>
  </si>
  <si>
    <t>TOOL KIT,GENERAL ME</t>
  </si>
  <si>
    <t>2YTCFW52138775</t>
  </si>
  <si>
    <t>TOOL KIT,GENERAL MECHANIC'S</t>
  </si>
  <si>
    <t>2YTCFW52138771</t>
  </si>
  <si>
    <t>MES COMBAT MEDIC-20</t>
  </si>
  <si>
    <t>THE CLARKE COUNTY SHERIFF'S OFFICE WOULD LIKE TO ACQUIRE THIS EQUIPMENT TO BE UTILIZED FOR EMERGENCY RESPONSE DURING CRITICAL INCIDENTS SUCH AS ACTIVE SHOOTER, TERRORIST INCIDENTS, NATURAL DISASTERS, INDUSTRIAL INCIDENTS AND CRITICAL CARE IF NEEDED FOR LOST INDIVIDUALS.</t>
  </si>
  <si>
    <t>2YTCFW51998380</t>
  </si>
  <si>
    <t>CAP, WORKING, DESERT, TYII, W/ACE</t>
  </si>
  <si>
    <t>THE CLARKE COUNTY SHERIFF'S OFFICE WOULD LIKE TO ACQUIRE THIS EQUIPMENT TO BE UTILIZED BY OUR OFFICERS FOR OUTDOORS OPERATIONS DURING NATURAL DISASTERS AND OR SEARCH AND RESCUE TO PROVIDE HEAD PROTECTION AND GLARE PROTECTION</t>
  </si>
  <si>
    <t>2YTCFW51998379</t>
  </si>
  <si>
    <t>2YTCFW51998378</t>
  </si>
  <si>
    <t>2YTCFW52068374</t>
  </si>
  <si>
    <t>CAP,BOONIE FIELD, DESERT</t>
  </si>
  <si>
    <t>THE CLARKE COUNTY SHERIFF'S OFFICE WOULD LIKE TO ACQUIRE THIS EQUIPMENT TO BE UTILIZED BY OUR DEPUTIES IN WOODED TERRAIN AND INCLEMENT WEATHER CONDITIONS TO AID IN SEARCH AND RESCUE OF VICTIMS AND OR LOST INDIVIDUALS.</t>
  </si>
  <si>
    <t>2YTCFW52068373</t>
  </si>
  <si>
    <t>2YTCFW52068372</t>
  </si>
  <si>
    <t>2YTCFW51716218</t>
  </si>
  <si>
    <t>PACK,WAIST</t>
  </si>
  <si>
    <t>THE CLARKE COUNTY SHERIFF'S OFFICE WOULD LIKE TO ACQUIRE THIS EQUIPMENT TO BE UTILIZED BY OUR OFFICERS TO CARRY MISSION ESSENTIAL EQUIPMENT IN THE FIELD.</t>
  </si>
  <si>
    <t>2YTCFW51716219</t>
  </si>
  <si>
    <t>POUCH,SUSTAINMENT</t>
  </si>
  <si>
    <t>THE CLARKE COUNTY SHERIFF'S OFFICE WOULD LIKE TO ACQUIRE THIS EQUIPMENT TO BE UTILIZED BY OUR OFFICERS TO CARRY SUSTAINMENT PACKAGES FOR DIFFERENT MISSIONS SUCH AS SURVEILLANCE AND OBSERVATION, SEARCH AND RESCUE, AND EXTENDED MISSIONS TO INCLUDE RESPONSE TO NATURAL DISASTERS, ACTIVE SHOOTER, AND HOSTAGE BARRICADE.</t>
  </si>
  <si>
    <t>CULLMAN POLICE DEPT (2YTC1D)</t>
  </si>
  <si>
    <t>2YTC1D52190020</t>
  </si>
  <si>
    <t>FOR USE BY CULLMAN POLICE DEPARTMENT TO MOVE TRAFFIC CONTROL DEVICES DURING LARGE EVENTS OR DURING DISASTER</t>
  </si>
  <si>
    <t>2YTC1D51716278</t>
  </si>
  <si>
    <t>FOR USE BY POLICE DEPARTMENT DURING EMERGENCY RESPONSE TO REPLACE AGING COMMAND POST</t>
  </si>
  <si>
    <t>DOJ/FBI REDSTONE ARSENAL CIRG (2YTSYK)</t>
  </si>
  <si>
    <t>2YTSYK51927653</t>
  </si>
  <si>
    <t>DSDEFIBRI</t>
  </si>
  <si>
    <t>DEFIBRULATOR</t>
  </si>
  <si>
    <t>FBI MEDIC</t>
  </si>
  <si>
    <t>2YTSYK52340353</t>
  </si>
  <si>
    <t>BAG,MEDICAL AID</t>
  </si>
  <si>
    <t>FORT PAYNE POLICE DEPT (2YTD8K)</t>
  </si>
  <si>
    <t>2YTD8K52068562</t>
  </si>
  <si>
    <t>HOOK KNIFE,RESCUE</t>
  </si>
  <si>
    <t>TO BE USED BY OUR POLICE DEPARTMENT AND ISSUED TO ALL OFFICERS IN THE DEPARTMENT FOR EMERGENCY SITUATIONS WHERE THEY NEED TO QUICKLY FREE SOMEONE OR THEIR SELVES TRAPPED IN A VEHICLE, ESPECIALLY AFTER AN ACCIDENT. THESE CUTTERS ARE DESIGNED TO SAFELY AND EFFICIENTLY SEVER SEAT BELTS, ALLOWING FOR RAPID EXTRACTION OF INDIVIDUALS WHO INJURED, TRAPPED, OR UNCONSCIOUS.</t>
  </si>
  <si>
    <t>FULTONDALE POLICE DEPT (2YTEEJ)</t>
  </si>
  <si>
    <t>2YTEEJ52551763</t>
  </si>
  <si>
    <t>CAN,AMMUNITION</t>
  </si>
  <si>
    <t>THESE CANS ARE NEEDED BY FULTONDALE PD OFFICERS TO STORE ITEMS INSIDE OF THEIR POLICE VEHICLES.</t>
  </si>
  <si>
    <t>GENEVA CSO (2YTEJF)</t>
  </si>
  <si>
    <t>2YTEJF51928190</t>
  </si>
  <si>
    <t>DSVEHMAIN</t>
  </si>
  <si>
    <t>MOTOR VEHICLE MAINTENANCE AND REPAIR</t>
  </si>
  <si>
    <t>THE GENEVA COUNTY SHERIFFS OFFICE WILL USE THESE FOR AFTER HOURS REPAIR OF OUR VEHICLES.</t>
  </si>
  <si>
    <t>HARPERSVILLE POLICE DEPT (2YT0E7)</t>
  </si>
  <si>
    <t>2YT0E752341235</t>
  </si>
  <si>
    <t>SIGHT,REFLEX</t>
  </si>
  <si>
    <t>THIS AGENCY DEPLOYS AR PLATFORM PATROL RIFLES THAT ARE MUCH MORE ACCURATE AND, IN A DUTY READY STATE WHILE UTILIZING OPTICAL SIGHTING AIDS, WHICH ALLOW FOR MUCH QUICKER TARGET ACQUISITION AND YET ALLOW THE OPERATOR TO MAINTAIN SITUATIONAL AWARENESS.  THESE SIGHTS WILL BE USED ON EXISTING PATROL RIFLES AND OR 1033 WEAPONS FOR WHICH THIS AGENCY HAS APPLIED. CONDITION B FULLY INTACT</t>
  </si>
  <si>
    <t>2YT0E751928201</t>
  </si>
  <si>
    <t>THIS AGENCY IS A LAW ENFORCEMENT ENTITY THAT EMPLOYEES PATROL RIFLES FOR WHICH THE REQUESTED ITEM WOULD AUGMENT.  IN ADDITION, THIS AGENCY'S RESPONSE AREA INCLUDES TWO SCHOOLS AND TWO ELECTRIC GENERATION PLANTS LISTED AS DHLS HIGH VALUE TARGETS.  THIS AGENCY VERIFIED THE CONDITION OF THE REQUESTED AS PER POLICY PRIOR TO THIS REQUEST, IN WHICH THE ALABAMA STATE COORDINATOR WAS COPIED ON ALL COMMUNICATIONS.  THIS AGENCY HAS ALSO MADE ARRANGEMENTS WITH THE HOST SITE FOR SHIPPING SAID ITEMS.</t>
  </si>
  <si>
    <t>2YT0E752341222</t>
  </si>
  <si>
    <t>DSPICKUP0</t>
  </si>
  <si>
    <t>PICKUP</t>
  </si>
  <si>
    <t>THIS VEHICLE WILL BE UTILIZED TO MANAGE AND SUPPLY LOGISTICS TO AND FROM LAW ENFORCEMENTS SPECIAL EVENTS AND TO MOVE EQUIPMENT TO AND FROM THE DEPARTMENT'S TRAINING FACILITIES.  THIS VEHICLE WILL ALSO BE AVAILABLE TO TRANSPORT SUPPLIES AND ASSIST IN NATURAL DISASTER SITUATIONS.</t>
  </si>
  <si>
    <t>2YT0E752411383</t>
  </si>
  <si>
    <t>DSSCOOTER</t>
  </si>
  <si>
    <t>SCOOTER</t>
  </si>
  <si>
    <t>THIS AGENCY WILL UTILIZE THE VEHICLE TO SHUTTLE LE PERSONNEL DURING ANNUAL CITY EVENTS THAT COVER LARGE AREAS AND ALLOW LE PERSONNEL TO MOVE ABOUT THE VENUE IN A SAFE MANNER THAN UTILIZING STREET VEHICLES IN AREAS HEAVILY CONGESTED BY PEDESTRIANS WHILE RESPONDING TO LE CALLS FOR SERVICE</t>
  </si>
  <si>
    <t>2YT0E751998522</t>
  </si>
  <si>
    <t>REMOTE CONTROL RADI</t>
  </si>
  <si>
    <t>THIS IS A QUALIFYING LAW ENFORCEMENT AGENCY THAT REQUIRES RADIOS OF MULTIPLE OPERATIONAL BANDS TO CONDUCT EMERGENCY OPERATIONS TO COMMUNICATE ON VARIETY OF SPECTRUM WITH AGENCY RESPONDING TO ASSIST IN THIS AGENCY AREA OF RESPONSIBILITY OR WHILE RESPONDING TO OUTSIDE AGENCIES IN TIMES OF UNUSUAL EMERGENCIES OR DURING NATURAL DISASTERS</t>
  </si>
  <si>
    <t>2YT0E752069019</t>
  </si>
  <si>
    <t>DSTHRMIMG</t>
  </si>
  <si>
    <t>THERMAL IMAGING EQUIPMENT</t>
  </si>
  <si>
    <t>THIS LAW ENFORCEMENT AGENCY RESPONDS TO AND HAS IN ITS GEOGRAPHIC ARE 2 POWER GENERATION HIGH VALUE TARGETS BOTH OF WHICH ARE LOCATED IN HEAVILY WOODED AREAS.  AS WITH THESE HVTS MUCH OF THIS AGENCY'S AREA OF RESPONSIBILITY IS HEAVILY WOODED OR SUBURBAN INTERFACE AREAS IN WHICH THERMAL IMAGING IS AN INCREDIBLE ASSET WHILE ATTEMPTING TO APPREHEND SUSPECTS OF CRIME OR LOCATE LOST CHILDREN OR ELDERLY INDIVIDUALS. THIS AGENCY HAS ALSO MADE CONTACT WITH THE DLA SITE REGARDING EQUIP CONDITION.</t>
  </si>
  <si>
    <t>2YT0E751928225</t>
  </si>
  <si>
    <t>LIGHT,CHEMILUMINESCENT</t>
  </si>
  <si>
    <t>BX</t>
  </si>
  <si>
    <t>THIS AGENCY ENGAGES IN LAW ENFORCEMENT ACTIVITIES, SUCH AS CLEARING BUILDINGS AND DISASTER RELIEF AND OTHER DAILY ACTIVITIES WHERE CHEM-LIGHTS ARE AN INVALUABLE RESOURCE.  REQUIRING NO BATTERIES AND HAVING AN EXTREME SHELF LIFE THESE ITEMS ARE A VALUABLE RESOURCE.</t>
  </si>
  <si>
    <t>2YT0E752139157</t>
  </si>
  <si>
    <t>FIRST AID KIT,UNIVE</t>
  </si>
  <si>
    <t>THIS AGENCY HAS NEED FOR SELF-AID EMERGENCY MEDICAL SUPPLIES TO BE PROVIDED TO FRONT LINE OFFICER THAT MAY BECOME SERIOUSLY INJURED OR MAY BE REQUIRED TO AID WITH TRAUMATICALLY INJURED CIVILIANS OR COUNTERPARTS THAT REQUIRE IMMEDIATE LIFESAVING INTERVENTIONS.  PER AL STANDARDS ALL OFFICERS ARE TRAINED IN THE USE OF IFAC MEDICAL INTERVENTIONS.</t>
  </si>
  <si>
    <t>2YT0E752209270</t>
  </si>
  <si>
    <t>MOLDED WAIST BELT</t>
  </si>
  <si>
    <t>THIS AGENCY TRAINS AND OPERATES IN TACTICAL ENVIRONMENTS WHERE LONG GUNS AND OTHER TACTICAL EQUIPMENT IS DEPLOYED REQUIRING PROPERLY SUITED GEAR TO FACILITATE SAID EQUIPMENT TO PREVENT ORTHOPEDIC INJURIES FROM THE RIGORS OF AWKWARDLY BEARING THE LOAD OF THE REQUIRED TACTICAL GEAR.</t>
  </si>
  <si>
    <t>2YT0E752209269</t>
  </si>
  <si>
    <t>2YT0E752139268</t>
  </si>
  <si>
    <t>POUCH,M4 THREE MAG</t>
  </si>
  <si>
    <t>THIS AGENCY ISSUES AND DEPLOYS AR PLATFORM PATROL RIFLES, THE TACTICAL DEPLOYMENT OF THIS PLATFORM REQUIRES THE CARRYING OF SPARE MAGAZINES ON ONE'S PERSON AT INCIDENTS WHERE THERE IS LIKELIHOOD PERSONNEL MAY BE FORCED TO SEND ROUNDS DOWN RANGE.</t>
  </si>
  <si>
    <t>2YT0E752139264</t>
  </si>
  <si>
    <t>PACK,ASSUALT</t>
  </si>
  <si>
    <t>THIS AGENCY CONDUCTS DAY TO DAY LAW ENFORCEMENT OPERATIONS THAT REQUIRES THE STOWING AND MOVING OF TACTICAL RELATED GEAR, THIS ITEM WILL BE UTILIZED FOR THE AFOREMENTIONED PURPOSES.</t>
  </si>
  <si>
    <t>HEADLAND POLICE DEPT (2YTE9E)</t>
  </si>
  <si>
    <t>2YTE9E51645864</t>
  </si>
  <si>
    <t>TRUCK,MULTISTOP DELIVERY</t>
  </si>
  <si>
    <t>THE HEADLAND POLICE DEPARTMENT AND OFFICERS WOULD BENEFIT FROM THIS EQUIPMENT BY HAVING THE MEANS OF TRANSPORTING OFFICERS AND EQUIPMENT SAFELY TO AREAS OF NEED TO SAFELY HANDLE SITUATIONS TO KEEP CIVILIANS AND OFFICERS SAFE.</t>
  </si>
  <si>
    <t>2YTE9E51998284</t>
  </si>
  <si>
    <t>LIGHT KIT,WEAPONS</t>
  </si>
  <si>
    <t>THE HEADLAND POLICE DEPARTMENT AND OFFICERS WOULD BENEFIT FROM THIS EQUIPMENT BY HAVING THE EQUIPMENT TO FULFILL THIER JOBS IN A SAFER MANNER USING THE PROPER EQUIPMENT</t>
  </si>
  <si>
    <t>JEFFERSON COUNTY SHERIFF'S OFFICE (2YTFX4)</t>
  </si>
  <si>
    <t>2YTFX452068329</t>
  </si>
  <si>
    <t>THIS WOULD BE USED BY LAW ENFORCEMENT AT JEFFERSON COUNTY SHERIFF'S OFFICE TO TRANSPORT EQUIPMENT.</t>
  </si>
  <si>
    <t>2YTFX452411087</t>
  </si>
  <si>
    <t>DSFLRVACU</t>
  </si>
  <si>
    <t>FLOOR POLISHERS, VACUUM CLEANING EQUIP</t>
  </si>
  <si>
    <t>THIS WILL BE USED BY LAW ENFORCEMENT TO CLEAN THE FLOORS OF THE SPECIAL OPERATIONS GARAGE AND VICE NARCOTICS GARAGE WHERE SEIZED VEHICLES ARE STORED.</t>
  </si>
  <si>
    <t>KINSEY POLICE DEPARTMENT (2YTRAR)</t>
  </si>
  <si>
    <t>2YTRAR51927589</t>
  </si>
  <si>
    <t>DSTRUCK00</t>
  </si>
  <si>
    <t>TRUCKS AND TRUCK TRACTORS</t>
  </si>
  <si>
    <t>THIS ITEM WOULD ASSIST THE KINSEY POLICE DEPARTMENT IN BUILDING OUR FIRING RANGE AND IF NEEDED IN STORMS TO RENDER AID TO CITIZENS IN NEED   AND CLEARING ROADS TO GET TO THEM</t>
  </si>
  <si>
    <t>2YTRAR52068451</t>
  </si>
  <si>
    <t>THIS WOULD ASSIST THE KINSEY POLICE DEPARTMENT IN DOING UNDERCOVER STINGS AND GOING OUT OF TOWN FOR TRAINING OR GOING TO RECEIVE LESO PROPERTY</t>
  </si>
  <si>
    <t>2YTRAR51927553</t>
  </si>
  <si>
    <t>THIS WOULD ASSIST THE KINSEY POLICE DEPARTMENT IN FIXING EQUIPMENT THAT WE HAVE ALSO BUILDING METAL BATTERING RAMS TO HELP ASSIST IN SEARCH WARRANTS.</t>
  </si>
  <si>
    <t>2YTRAR52068320</t>
  </si>
  <si>
    <t>DSPRINT00</t>
  </si>
  <si>
    <t>PRINTER, COMMERCIAL</t>
  </si>
  <si>
    <t>THIS WOULD HELP THE KINSEY POLICE DEPARTMENT IN PRINTING OFF REPORTS IN THE POLICE DEPARTMENT BESIDES HAVING TO PRINT OFF IN OTHER BUILDING SO THAT WE CAN CONTAIN EVERYTHING INSIDE THE POLICE DEPARTMENT</t>
  </si>
  <si>
    <t>2YTRAR51857556</t>
  </si>
  <si>
    <t>DSAIRCIRC</t>
  </si>
  <si>
    <t>FANS, AIR CIRCULATORS, AND BLOWER EQUIP</t>
  </si>
  <si>
    <t>THIS ITEM WOULD ASSIST THE KINSEY POLICE DEPARTMENT IN STAYING COOL AT THE FIRING RANGE AND INSIDE OF THE POLICE OFFICERS WORKOUT ROOM</t>
  </si>
  <si>
    <t>2YTRAR51927558</t>
  </si>
  <si>
    <t>THIS ITEM WOULD ASSIST KINSEY POLICE OFFICERS IN EXTRACTING PEOPLE OUT OF VEHICLES IN WRECKS SO THAT FIRST AID CAN BE PROVIDED.</t>
  </si>
  <si>
    <t>2YTRAR52068452</t>
  </si>
  <si>
    <t>THIS COULD BE USED TO PUT IN OUR PATROL VEHICLES IN ALL DOORS , IN THE POLICE DEPARTMENTS, WEAR ON BODY, AND HAVE EXTRAS IN CASE BREAK OR LOSES KNIFE, THIS ALSO ISSUED TO ALL CERTIFIED POLICE OFFICERS AND RESERVES SO THAT IF NEEDED WHILE ON DUTY THEY CAN USE IT TO SAVE LIVES.</t>
  </si>
  <si>
    <t>2YTRAR51927557</t>
  </si>
  <si>
    <t>THIS ITEM WOULD ASSIST THE KINSEY POLICE DEPARTMENT KEEPING OUR TIRES FULL OF AIR ON PATROL VEHICLES AND ON OTHER EQUIPMENT THAT WE HAVE</t>
  </si>
  <si>
    <t>2YTRAR51927559</t>
  </si>
  <si>
    <t>DSPRESSUR</t>
  </si>
  <si>
    <t>PRESSURE WASHER</t>
  </si>
  <si>
    <t>THIS ITEM WOULD ASSIST THE KINSEY POLICE DEPARTMENT IN WASHING OUR PATROL VEHICLES AND KEEPING OUR POLICE DEPARTMENT CLEAN AND PRESENTABLE</t>
  </si>
  <si>
    <t>2YTRAR51927560</t>
  </si>
  <si>
    <t>THIS WOULD ASSIST THE KINSEY POLICE DEPARTMENT IN KEEPING OUR PATROL VEHICLES AND OTHER VEHICLES THAT THE POLICE DEPARTMENT HAS IN WORKING ORDER AND MONTHLY MAINTAINED AND IF ONE VEHICLE BRAKES DOWN ONE OF MY CERTIFIED OFFICERS IS A LICENSED MECHANIC THAT COULD WORK ON THEM TO GET THEM BACK WORKING</t>
  </si>
  <si>
    <t>2YTRAR51857562</t>
  </si>
  <si>
    <t>THIS ITEM WOULD ASSIST THE KINSEY POLICE DEPARTMENT IN CLEANING OUR TRACTORS AND PATROL VEHICLES AND CLEANING THE POLICE DEPARTMENT BUILDING</t>
  </si>
  <si>
    <t>2YTRAR51857561</t>
  </si>
  <si>
    <t>GUARD,SAFETY,TIRE I</t>
  </si>
  <si>
    <t>THIS ITEM WOULD ASSIST THE KINSEY POLICE DEPARTMENT IN FIXING BLOWN PATROL VEHICLE TIRES TO HELP SAVE MONEY FOR THE DEPARTMENT.</t>
  </si>
  <si>
    <t>2YTRAR51927566</t>
  </si>
  <si>
    <t>DSTOOL000</t>
  </si>
  <si>
    <t>HAND TOOLS, POWER DRIVEN</t>
  </si>
  <si>
    <t>THIS ITEM WOULD ASSIST THE KINSEY POLICE DEPARTMENT IN BUILDING A STORAGE BUILDING AT THE FIRING RANGE TO STORE TARGETS IN AND OTHER TRAINING DEVICES</t>
  </si>
  <si>
    <t>2YTRAR51927567</t>
  </si>
  <si>
    <t>CABINET,TOOL,MOBILE</t>
  </si>
  <si>
    <t>THIS ITEM WOULD ASSIST THE KINSEY POLICE DEPARTMENT IN STORING TOOLS THAT THE DEPARTMENT HAS AND CAN BE MOVED PLACE TO PLACE IF WE NEED IT TO</t>
  </si>
  <si>
    <t>2YTRAR51927568</t>
  </si>
  <si>
    <t>TOOL KIT,REFRIGERATION EQUIPMENT</t>
  </si>
  <si>
    <t>THIS WOULD ASSIST THE KINSEY POLICE DEPARTMENT IN PUTTING AIE IN THE BUILDING AT THE FIRING RANGE AND KEEPING IT SERVICED</t>
  </si>
  <si>
    <t>2YTRAR52068319</t>
  </si>
  <si>
    <t>DSLAPTOPS</t>
  </si>
  <si>
    <t>COMPUTER SYSTEMS LAPTOP</t>
  </si>
  <si>
    <t>THIS WOULD ASSIST THE KINSEY POLICE DEPARTMENT IN HAVING NEWER COMPUTERS AND BEING ABLE TO HAVE ACCESS TO A COMPUTER WHILE OFFICERS ARE IN COURT AND TO BE ABLE TO LEAVE THEM INSIDE COURT. ALSO FOR OFFICERS TO HAVE IN THE FIELD TO DO REPORTS AND OTHER INVESTIGATIONS ON THIS WOULD ALSO HELP INSIDE POLICE DEPARTMENT TO DO REPORTS AND INVESTIGATIONS WITH ALSO WOULD ASSIST THE CODE ENFORCEMENT OFFICER IN THE FIELD AND TO HAVE BACK UPS IN CASE OTHERS GO BAD OR DAMAGED OR CRASHES</t>
  </si>
  <si>
    <t>2YTRAR51998447</t>
  </si>
  <si>
    <t>THIS WOULD ASSIST THE KINSEY POLICE DEPARTMENT IN OUTFITTING OUR WEAPONS FOR MORE TACTICAL MEASURES AND HELPS MAINTAIN THE RIFLE ON YOUR BODY WHEN YOU HAVE TO GO HANDS ON TO A CRIMINAL</t>
  </si>
  <si>
    <t>LEVEL PLAINS POLICE DEPARTMENT (2YTRNR)</t>
  </si>
  <si>
    <t>2YTRNR51716140</t>
  </si>
  <si>
    <t>LEVEL PLAINS POLICE DEPT WOULD USE TO REPLACE OLD TAZERS WITH THIS REPLACEMENT</t>
  </si>
  <si>
    <t>2YTRNR52551954</t>
  </si>
  <si>
    <t>TRUCK,CARGO</t>
  </si>
  <si>
    <t>LEVEL PLAINS POLICE DEPT WOULD UTILIZE AS A K-9 EQUIPMENT TRUCK, ANIMAL CONTROL TRUCK AND CODE ENFROCEMENT TO CARRY OUT POLICE DUTIES</t>
  </si>
  <si>
    <t>2YTRNR51716142</t>
  </si>
  <si>
    <t>LEVEL PLAINS POLICE DEPT WOULD UTILZE TO REPAIR DAMAGES TO POLICE EQUIPMENT</t>
  </si>
  <si>
    <t>2YTRNR52411216</t>
  </si>
  <si>
    <t>COMPUTER,DESKTOP</t>
  </si>
  <si>
    <t>LEVEL PLAINS POLICE DEPT WOULD UTILIZE COMPUTERS TO REPLACE OLDER COMPUTERS TO ENABLE OFFICERS TO EFFICIENTLY DO THEIR JOB</t>
  </si>
  <si>
    <t>2YTRNR51997924</t>
  </si>
  <si>
    <t>LANGUAGE TRANSLATOR</t>
  </si>
  <si>
    <t>LEVEL PLAINS POICE DEPT WOULD UTILIZE THESE IN OUR HISPANIC NEIGHBORHOODS TO HELP US DO OUR JOB WITHOUT COMMUNICATION BARRIER</t>
  </si>
  <si>
    <t>2YTRNR51997893</t>
  </si>
  <si>
    <t>DSPDA0001</t>
  </si>
  <si>
    <t>PERSONAL DATA ASSISTANT</t>
  </si>
  <si>
    <t>LEVEL PLAINS POLICE DEPT WOULD UTLIZE PDA'S FOR ORGANIZING POLICE REPORTS, INVENTORY REPORTS AND OTHER POLICE INFORMATION</t>
  </si>
  <si>
    <t>MOULTON POLICE DEPT (2YTQP8)</t>
  </si>
  <si>
    <t>2YTQP852411275</t>
  </si>
  <si>
    <t>MOULTON POLICE WOULD LIKE TO ACQUIRE THIS PROPERTY FOR THE PURPOSE OF A SPECIAL RESPONSE, SPECIAL EVENTS VEHICLE, OR A MOBILE COMMAND VEHICLE. WE NEED ANOTHER VEHICLE TO BE ABLE TO PULL TRAILERS AS WELL AND THIS WOULD SUPPLEMENT THAT.</t>
  </si>
  <si>
    <t>NORTHPORT POLICE DEPT (2YT1RJ)</t>
  </si>
  <si>
    <t>2YT1RJ52138901</t>
  </si>
  <si>
    <t>DSLAWNRID</t>
  </si>
  <si>
    <t>LAWN MOWER, RIDING</t>
  </si>
  <si>
    <t>THIS ITEM WILL BE UTILIZED TO MOW GRASS AT OUR FIRING RANGE.</t>
  </si>
  <si>
    <t>2YT1RJ51716906</t>
  </si>
  <si>
    <t>DSMISCCO0</t>
  </si>
  <si>
    <t>MISCELLANEOUS CONSTRUCTION EQUIPMENT</t>
  </si>
  <si>
    <t>THIS ITEM WILL BE UTILIZED AT THE POLICE STATION TO CHANGE LIGHTING FIXTURES IN TALL OUTDOOR LAMPS TO MAINTAIN SECURITY AND PUBLIC SAFETY.</t>
  </si>
  <si>
    <t>2YT1RJ51787255</t>
  </si>
  <si>
    <t>DSLIGHTSE</t>
  </si>
  <si>
    <t>LIGHT SET</t>
  </si>
  <si>
    <t>THIS EQUIPMENT WILL BE UTILIZED BY LAW ENFORCEMENT TO ILLUMINATE PUBLIC GATHERINGS AT NIGHT FOR OFFICERS TO SEE FOR SAFETY AND SECURITY.</t>
  </si>
  <si>
    <t>ONEONTA POLICE DEPTMENT (2YT13U)</t>
  </si>
  <si>
    <t>2YT13U51857146</t>
  </si>
  <si>
    <t>DSTRACTO1</t>
  </si>
  <si>
    <t>TRACTORS, WHEELED</t>
  </si>
  <si>
    <t>ONEONTA POLICE DEPARTMENT WILL USE THIS TRACTOR TO ALLOW US PULL THE BUSHHOG WE GOT FROM DLA THATS TO BIG FOR OUR TRACTOR.  THIS WILL HELP OPD UP KEEP OUR TRAINING FIELD.</t>
  </si>
  <si>
    <t>PIEDMONT POLICE DEPARTMENT (2YTJMH)</t>
  </si>
  <si>
    <t>2YTJMH51716132</t>
  </si>
  <si>
    <t>AUTOMOBILE,SEDAN</t>
  </si>
  <si>
    <t>THE PIEDMONT POLICE DEPARTMENT WOULD UTILIZE THIS EQUIPMENT TO ADD A VEHICLE TO IT FLEET TO PATROL AND SERVE ITS COMMUNITY. THE PIEDMONT POLICE DEPARTMENT IS IN REAL NEED OF VEHICLES AND IT WOULD GREATLY BENEFIT THE DEPARTMENT AND THE COMMUNITY IT SERVES.</t>
  </si>
  <si>
    <t>2YTJMH51927603</t>
  </si>
  <si>
    <t>DSPASSMOT</t>
  </si>
  <si>
    <t>PASSENGER MOTOR VEHICLES</t>
  </si>
  <si>
    <t>THE PIEDMONT POLICE DEPARTMENT WOULD UTILIZE THIS EQUIPMENT AT ADD TO ITS MUCH NEEDED FLEET. THIS EQUIPMENT WOULD BE UP FITTED FOR PATROL OR FOR ITS CODE ENFORCEMENT UNIT. THIS EQUIPMENT WOULD GREATLY BENEFIT THE PIEDMONT POLICE DEPARTMENT AND THE COMMUNITY IT SERVES.</t>
  </si>
  <si>
    <t>2YTJMH51716133</t>
  </si>
  <si>
    <t>THE PIEDMONT POLICE DEPARTMENT WOULD UTILIZE THIS EQUIPMENT TO USE FOR TACTICAL RESPONSES AND TO SERVICE ITS BIKE PATROL. THE PIEDMONT BIKE PATROL ASSISTS THROUGHOUT THE AREA AND THIS WOULD ALLOW A QUICK AND EFFICIENT WAY TO TRANSPORT. THIS EQUIPMENT WOULD HAVE MULTIPLE USES WITHIN THE DEPARTMENT.</t>
  </si>
  <si>
    <t>2YTJMH51786839</t>
  </si>
  <si>
    <t>THE PIEDMONT POLICE DEPARTMENT WOULD UTILIZE THIS EQUIPMENT FOR TACTICAL RESPONSES, TRANSPORTING EQUIPMENT, AND SERVICE THE DEPARTMENT'S BIKE PATROL. IT WOULD ALLOW FOR A MORE EFFECTIVE WAY TO TRANSPORT LARGER PIECES OF EQUIPMENT AND PROVIDED A WAY TO TRANSPORT OFFICERS TO LOCATIONS FOR THEIR TACTICAL DEPLOYMENTS WHICH BENEFITS THE DEPARTMENT AND THE COMMUNITY IT SERVES.</t>
  </si>
  <si>
    <t>2YTJMH51918224</t>
  </si>
  <si>
    <t>THE PIEDMONT POLICE DEPARTMENT WOULD USE THIS EQUIPMENT TO STORE TOOLS THAT ARE USED TO DO GENERAL MAINTENANCE ON PATROL VEHICLES AND THE DEPARTMENT.</t>
  </si>
  <si>
    <t>2YTJMH52481361</t>
  </si>
  <si>
    <t>FILING CABINET</t>
  </si>
  <si>
    <t>THE PIEDMONT POLICE DEPARTMENT WOULD UTILIZE THIS EQUIPMENT FOR SHORT TERM EVIDENCE STORAGE. THE WILL ALLOW THE DEPARTMENT TO SECURE EVIDENCE BEFORE IT CAN BE PACKAGED AND PROCESSED. THIS WILL MAKE THE DEPARTMENT MORE EFFICIENT AND LESS LIKELY FOR EVIDENCE TO BE TAMPERED WITH BEFORE IT IS PROCESSED.</t>
  </si>
  <si>
    <t>2YTJMH52481363</t>
  </si>
  <si>
    <t>2YTJMH52481357</t>
  </si>
  <si>
    <t>DSRACK002</t>
  </si>
  <si>
    <t>RACK, COMMERCIAL STORAGE</t>
  </si>
  <si>
    <t>THE PIEDMONT POLICE DEPARTMENT WOULD UTILIZE THIS EQUIPMENT IN OUR EVIDENCE VAULT TO STORE AND ORGANIZE EVIDENCE. THIS EQUIPMENT WOULD MAKE THE DEPARTMENT MORE ORGANIZED AND MORE EFFICIENT.</t>
  </si>
  <si>
    <t>POWELL POLICE DEPT (2YTJWC)</t>
  </si>
  <si>
    <t>2YTJWC51716208</t>
  </si>
  <si>
    <t>IF AWARDED THIS EQUIPMENT WOULD BE PUT IN SERVICE AS A SERVICE VEHICLE FOR POLICE FLEET AND OTHER ASSIGNMENTS FOR POLICE DEPARTMENT ACTIVITY.</t>
  </si>
  <si>
    <t>RAINBOW CITY POLICE DEPT (2YTJ12)</t>
  </si>
  <si>
    <t>2YTJ1252552157</t>
  </si>
  <si>
    <t>GENERATOR SET,DIESEL ENGINE</t>
  </si>
  <si>
    <t>OUR POLICE DEPARTMENT HAS OPERATIONAL CONTROL OF RAINBOW CITY ANIMAL CONTROL FACILITY AND STAFF. THE BUILDING DOES NOT HAVE AN ALTERNATE POWER SOURCE. DURING THE WINTER POWER OUTAGES LEAVES THE BUILDING WITHOUT HEAT AND LIGHTS FOR SHELTER ANIMALS AND ANIMAL CONTROL OFFICERS TO PERFORM THERE DUTIES.</t>
  </si>
  <si>
    <t>SLOCOMB POLICE DEPT (2YTK42)</t>
  </si>
  <si>
    <t>2YTK4252481607</t>
  </si>
  <si>
    <t>DSMULE000</t>
  </si>
  <si>
    <t>MULE</t>
  </si>
  <si>
    <t>THIS ITEM IS BEING REQUESTED BY THE SLOCOMB POLICE DEPARTMENT TO BE USED BY OFFICERS FOR LAW ENFORCEMENT PURPOSES. THE REQUESTED MULE WILL BE UTILIZED BY OFFICERS WHEN PATROLING A TWO MILE NATURE TRAIL LOCATED WITHIN SLOCOMB CITY LIMITS. THE MULE WILL BE UTILIZED AS WELL FOR SEARCH AND RESCUE OPERATIONS.</t>
  </si>
  <si>
    <t>2YTK4252552230</t>
  </si>
  <si>
    <t>DSDIGITA0</t>
  </si>
  <si>
    <t>CAMERA, DIGITAL</t>
  </si>
  <si>
    <t>THE SLOCOMB POLICE DEPARTMENT REQUESTS CAMERAS FOR LAW ENFORCEMENT AND SECURITY USE AT THE SLOCOMB MUNICIPAL BUILDING, WHERE INTERVIEWS AND MUNICIPAL COURT ARE HELD. THE CAMERAS WILL ENHANCE SAFETY, PROVIDE DOCUMENTATION, AND ALLOW OFFICERS TO REVIEW AND RETRIEVE FOOTAGE FOR INVESTIGATIVE AND COURT PURPOSES.</t>
  </si>
  <si>
    <t>TROY POLICE DEPT (2YTLZB)</t>
  </si>
  <si>
    <t>2YTLZB52279801</t>
  </si>
  <si>
    <t>CONTAINER,FREIGHT,G</t>
  </si>
  <si>
    <t>THIS CONTAINER WILL BE USED BY THE TROY POLICE DEPARTMENT TO STORE FIRING RANGE EQUIPMENT AND AMMO.</t>
  </si>
  <si>
    <t>TUSCALOOSA POLICE DEPT (2YTL15)</t>
  </si>
  <si>
    <t>2YTL1552138884</t>
  </si>
  <si>
    <t>TRACTOR,WHEELED,AIR</t>
  </si>
  <si>
    <t>TPD REQUEST THIS TRUCK TO USE IN DEPLOYING EQUIPMENT AND PERSONAL DURING TERROR AND MASS CASUALTY ATTACKS, SEVERE WEATHER AND SETTING UP SECURITY FOR LARGE SCALE EVENTS TO PREVENT TERROR AND MASS CASUALTY ATTACKS.</t>
  </si>
  <si>
    <t>2YTL1552552626</t>
  </si>
  <si>
    <t>TRACTOR,WHEELED,AIRCRAFT TOWING</t>
  </si>
  <si>
    <t>TPD REQUEST THIS VEHICLE TO USE IN DEPLOYING OUR PORTABLE BARRIERS IN RESPONSE TO ACTS OF TERROR AND MASS CASUALTY EVENTS. AS WELL AS PROTECTION FOR LARGE EVENTS THAT ARE TARGETS FOR THESE TYPES OF ATTACKS.</t>
  </si>
  <si>
    <t>2YTL1551716336</t>
  </si>
  <si>
    <t>JON BOAT</t>
  </si>
  <si>
    <t>TPD REQUEST THIS BOAT FOR OUR POLICE DIVE TEAM TO USE WHEN RESPONDING ON SEARCH AND RESCUE CALLS ON BODIES OF WATER THAT OUR NORMAL PATROL BOATS CAN NOT FIT IN.</t>
  </si>
  <si>
    <t>2YTL1551857134</t>
  </si>
  <si>
    <t>TPD REQUEST THIS TRUCK TO USE IN DEPLOYING EQUIPMENT AND PERSONAL DURING TERRORIST, MASS CASUALTY, AND SEVERE WEATHER EVENTS.</t>
  </si>
  <si>
    <t>2YTL1552481317</t>
  </si>
  <si>
    <t>TPD REQUEST THIS TRUCK TO USE FOR A MOBILE COMMAND POST IN RESPONSE TO AND PROTECTION FROM ACTS OF TERROR AND MASS CASUALTY EVENTS. IT WILL ALSO BE USED FOR A MOBILE COMMAND POST ON EXTENDED HIGH PRIORITY CRIME SCENES.</t>
  </si>
  <si>
    <t>2YTL1552209569</t>
  </si>
  <si>
    <t>TRAILER,FLAT BED</t>
  </si>
  <si>
    <t>TPD REQUEST THIS TRAILER TO USE IN DEPLOYING AND RETRIEVING HEAVY EQUIPMENT IN RESPONSE TO AND PROTECTION FOR ACTS OF TERROR AND MASS CASUALTY.</t>
  </si>
  <si>
    <t>2YTL1552340393</t>
  </si>
  <si>
    <t>MOLDING,METAL</t>
  </si>
  <si>
    <t>TPD REQUEST THIS MOLDING, METAL TO USE IN REPAIRING, UPDATING, MODIFYING OUR POLICE DEPARTMENT VEHICLES, OFFICES, AND OTHER EQUIPMENT TO KEEP THEM READY FOR THE EVER CHANGING MISSION OF THE DEPARTMENT TO BEST RESPOND TO TERRORIST, AND MASS CASUALTY EVENTS, AND TO BEST PROTECT OUR CITIZENS.</t>
  </si>
  <si>
    <t>2YTL1551988551</t>
  </si>
  <si>
    <t>DSMILLMAC</t>
  </si>
  <si>
    <t>SAWMILL AND PLANING MILL MACHINERY</t>
  </si>
  <si>
    <t>TPD REQUEST THESE MACHINES TO USE IN REPAIRING OUR DEPARTMENT OWNED VEHICLES, AND 10-33 VEHICLES. THEY WILL ALSO BE USED TO REPAIR AND UPDATE AND OTHER POLICE DEPARTMENT OWNED EQUIPMENT AND PROPERTY. SO THAT OFFICERS HAVE THE BEST EQUIPMENT TO HELP THEM IN RESPONSE TO TERRORIST AND MASS CASUALTY EVENTS.</t>
  </si>
  <si>
    <t>2YTL1551988549</t>
  </si>
  <si>
    <t>2YTL1551988552</t>
  </si>
  <si>
    <t>2YTL1551988550</t>
  </si>
  <si>
    <t>DSPLANESH</t>
  </si>
  <si>
    <t>PLANERS AND SHAPERS</t>
  </si>
  <si>
    <t>2YTL1551575513</t>
  </si>
  <si>
    <t>DSMISCWEL</t>
  </si>
  <si>
    <t>MISCELLANEOUS WELDING EQUIPMENT</t>
  </si>
  <si>
    <t>TPD REQUEST THIS EQUIPMENT TO USE IN REPAIRING OUR DEPARTMENT OWNED VEHICLES, AND 10-33 VEHICLES. THEY WILL ALSO BE USED TO REPAIR AND UPDATE AND OTHER POLICE DEPARTMENT OWNED EQUIPMENT AND PROPERTY. SO THAT OFFICERS HAVE THE BEST EQUIPMENT TO HELP THEM IN RESPONSE TO TERRORIST AND MASS CASUALTY EVENTS.</t>
  </si>
  <si>
    <t>2YTL1551716337</t>
  </si>
  <si>
    <t>TPD REQUEST THESE TOOLS TO USE IN REPAIRING, UPDATING, MODIFYING OUR POLICE DEPARTMENT EQUIPMENT AND FACILITIES TO KEEP IT IN THE BEST CONDITION POSSIBLE FOR RESPONDING TO TERRORIST, AND MASS CASUALTY EVENTS AND CALLS FOR SERVICE.</t>
  </si>
  <si>
    <t>2YTL1552613520</t>
  </si>
  <si>
    <t>DSCART001</t>
  </si>
  <si>
    <t>HAND CART</t>
  </si>
  <si>
    <t>TPD REQUEST THIS CART TO SAFELY CARRY OUR WELDING AND CUTTING GASSES WHEN REPAIRING POLICE EQUIPMENT TO KEEP IT IN THE BEST CONDITION POSSIBLE FOR RESPONDING TO ACTS OF TERROR AND MASS CASUALTY.</t>
  </si>
  <si>
    <t>2YTL1551645642</t>
  </si>
  <si>
    <t>TPD REQUEST THIS FORKLIFT TO USE IN LOADING AND UNLOADING PALLETS OF EQUIPMENT SHIPPED IN FOR UPFITTING OUR PATROL VEHICLES, AND EVIDENCE COLLECTED AT CRIME SCENES, AND TERRORIST AND MASS CASUALTY EVENTS.</t>
  </si>
  <si>
    <t>2YTL1552340429</t>
  </si>
  <si>
    <t>DSREFMICW</t>
  </si>
  <si>
    <t>REFRIGERATOR MICROWAVE COMBO</t>
  </si>
  <si>
    <t>TPD REQUEST THESE ITEMS FOR OUR OFFICERS TO USE TO STORE AND REHEAT FOOD AND DRINKS WHILE WORKING LONG SHIFTS DUE TO TERROR OR MASS CASUALTY EVENTS OR PROTECTING EVENTS FROM THESE ATTACKS.</t>
  </si>
  <si>
    <t>2YTL1552340175</t>
  </si>
  <si>
    <t>BARRIER,VEHICLE ARR</t>
  </si>
  <si>
    <t>TPD REQUEST THIS BARRIER TO USE IN PROTECTING AND SECURING  AREAS FROM ACTS OF TERROR AND MASS CASUALTY, OR FOR CRIME SCENE SAFETY AFTER A TERROR OR MASS CASUALTY ATTACK.</t>
  </si>
  <si>
    <t>2YTL1552340176</t>
  </si>
  <si>
    <t>2YTL1552552618</t>
  </si>
  <si>
    <t>SCREWDRIVER,TORQUE</t>
  </si>
  <si>
    <t>TPD REQUEST THESE TOOLS TO USE IN REPAIRING OUR DEPARTMENT OWNED VEHICLES, AND 10-33 VEHICLES. THEY WILL ALSO BE USED TO REPAIR AND UPDATE AND OTHER POLICE DEPARTMENT OWNED EQUIPMENT AND PROPERTY. SO THAT OFFICERS HAVE THE BEST EQUIPMENT TO HELP THEM IN RESPONSE TO TERRORIST AND MASS CASUALTY EVENTS.</t>
  </si>
  <si>
    <t>2YTL1552552624</t>
  </si>
  <si>
    <t>DRILL-DRIVER,ELECTRIC,PORTABLE</t>
  </si>
  <si>
    <t>2YTL1552552620</t>
  </si>
  <si>
    <t>2YTL1552552616</t>
  </si>
  <si>
    <t>2YTL1552623325</t>
  </si>
  <si>
    <t>2YTL1552623324</t>
  </si>
  <si>
    <t>DSIMPACT0</t>
  </si>
  <si>
    <t>IMPACT DRILL, POWER</t>
  </si>
  <si>
    <t>2YTL1552623323</t>
  </si>
  <si>
    <t>DSGRINDE1</t>
  </si>
  <si>
    <t>GRINDER, POWER</t>
  </si>
  <si>
    <t>2YTL1552623320</t>
  </si>
  <si>
    <t xml:space="preserve">
TPD REQUEST THESE TOOLS TO USE IN REPAIRING OUR DEPARTMENT OWNED VEHICLES, AND 10-33 VEHICLES. THEY WILL ALSO BE USED TO REPAIR AND UPDATE AND OTHER POLICE DEPARTMENT OWNED EQUIPMENT AND PROPERTY. SO THAT OFFICERS HAVE THE BEST EQUIPMENT TO HELP THEM IN RESPONSE TO TERRORIST AND MASS CASUALTY EVENTS. 
</t>
  </si>
  <si>
    <t>2YTL1552552625</t>
  </si>
  <si>
    <t>TOOL KIT,SUPPLEMENT</t>
  </si>
  <si>
    <t>2YTL1552340394</t>
  </si>
  <si>
    <t>HARDWARE KIT,ELECTR</t>
  </si>
  <si>
    <t>TPD REQUEST THESE KITS TO USE IN REPAIRING, UPDATING, MODIFYING OUR POLICE DEPARTMENT VEHICLES, OFFICES, AND OTHER EQUIPMENT TO KEEP THEM READY FOR THE EVER CHANGING MISSION OF THE DEPARTMENT TO BEST RESPOND TO TERRORIST, AND MASS CASUALTY EVENTS, AND TO BEST PROTECT OUR CITIZENS.</t>
  </si>
  <si>
    <t>2YTL1552613522</t>
  </si>
  <si>
    <t>TPD REQUEST THESE STRUCTURES TO USE IN STORING AND SECURING OUR EQUIPMENT OUT OF THE WEATHER UNTIL NEEDED TO RESPOND TO ACTS OF TERROR AND MASS CASUALTY.</t>
  </si>
  <si>
    <t>2YTL1552340392</t>
  </si>
  <si>
    <t>ENVELOPE,POWER UNIT</t>
  </si>
  <si>
    <t>TPD REQUEST THESE POWER UNITS TO USE IN REPAIRING AND UPDATING OUR HYDRAULIC BARRIERS USED IN PROTECTION TO AND RESPONSE OF TERROR AND MASS CASUALTY EVENTS.</t>
  </si>
  <si>
    <t>2YTL1552552619</t>
  </si>
  <si>
    <t>DSBATTRCH</t>
  </si>
  <si>
    <t>BATTERIES, UNUSED, RECHARGEABLE</t>
  </si>
  <si>
    <t>TPD REQUEST THESE BATTERIES TO KEEP OUR EQUIPMENT POWERED UP WHEN RESPONDING TO ACTS OF TERROR OR MASS CASUALTY.</t>
  </si>
  <si>
    <t>2YTL1552200049</t>
  </si>
  <si>
    <t>DSCABLEEL</t>
  </si>
  <si>
    <t>WIRE AND CABLE, ELECTRICAL, ROLL</t>
  </si>
  <si>
    <t>RO</t>
  </si>
  <si>
    <t>TPD REQUEST THIS MATERIAL TO USE IN REPAIRING, UPDATING, MODIFYING OUR POLICE DEPARTMENT EQUIPMENT AND FACILITIES TO KEEP IT IN THE BEST CONDITION POSSIBLE FOR RESPONDING TO TERRORIST, AND MASS CASUALTY EVENTS AND CALLS FOR SERVICE.</t>
  </si>
  <si>
    <t>2YTL1551645740</t>
  </si>
  <si>
    <t>HEADLIGHT</t>
  </si>
  <si>
    <t>TPD REQUEST THESE HEADLIGHTS TO REPLACE WORN AND BROKEN HEADLIGHTS ON 10-33 VEHICLES TO KEEP THE EQUIPMENT IN THE BEST CONDITION POSSIBLE FOR RESPONDING TO TERRORIST AND MASS CASUALTY EVENTS.</t>
  </si>
  <si>
    <t>2YTL1551504699</t>
  </si>
  <si>
    <t>FLASHLIGHT</t>
  </si>
  <si>
    <t>TPD REQUEST THIS EQUIPMENT TO USE DURING SEARCH AND RESCUE OPERATIONS, HOSTAGE SITUATIONS AND BARRICADED SUSPECT CALLS TO ILLUMINATE THE AREA FOR VISIBILITY AND TO SAFELY RESCUE ALL INVOLVED.</t>
  </si>
  <si>
    <t>2YTL1551565971</t>
  </si>
  <si>
    <t>DSHOSPCLO</t>
  </si>
  <si>
    <t>HOSPITAL AND SURGICAL CLOTHING</t>
  </si>
  <si>
    <t>TPD REQUEST THESE GLOVES FOR OUR OFFICERS TO USE WHEN RESPONDING TO ACTS OF TERROR AND MASS CASUALTY, FOR TREATING PATIENTS SAFELY, AND PROCESS THE SCENES WITHOUT CONTAMINATING ANY POSSIBLE EVIDENCE WHILE PROTECTING THEIR HEALTH FROM ANY DANGEROUS PATHOGENS.</t>
  </si>
  <si>
    <t>2YTL1551857771</t>
  </si>
  <si>
    <t>DSWHRAKLT</t>
  </si>
  <si>
    <t>WAREHOUSE RACKS AND SHELVING</t>
  </si>
  <si>
    <t>LT</t>
  </si>
  <si>
    <t>TPD REQUEST THIS SHELVING TO USE WITH OUR WAREHOUSE RACK SYSTEM WHERE WE STORE THE SUPPLIES USED TO KEEP OUR EQUIPMENT AND OFFICERS ABLE TO RESPOND SAFELY TO ACTS OF TERROR AND MASS CASUALTY.</t>
  </si>
  <si>
    <t>2YTL1551857772</t>
  </si>
  <si>
    <t>2YTL1551857773</t>
  </si>
  <si>
    <t>2YTL1551857774</t>
  </si>
  <si>
    <t>2YTL1552200036</t>
  </si>
  <si>
    <t>DSNONFERB</t>
  </si>
  <si>
    <t>BARS AND RODS, NONFERROUS BASE METAL</t>
  </si>
  <si>
    <t>2YTL1552200035</t>
  </si>
  <si>
    <t>2YTL1552200038</t>
  </si>
  <si>
    <t>DSNONFERP</t>
  </si>
  <si>
    <t>PLATE, SHEET, STRIP, AND FOIL; NONFERROU</t>
  </si>
  <si>
    <t>2YTL1552200047</t>
  </si>
  <si>
    <t>2YTL1552200046</t>
  </si>
  <si>
    <t>2YTL1552200041</t>
  </si>
  <si>
    <t>2YTL1552200040</t>
  </si>
  <si>
    <t>2YTL1552200037</t>
  </si>
  <si>
    <t>2YTL1552200039</t>
  </si>
  <si>
    <t>WEBB POLICE DEPARTMENT (2YTRL4)</t>
  </si>
  <si>
    <t>2YTRL452270460</t>
  </si>
  <si>
    <t>DSBOAT000</t>
  </si>
  <si>
    <t>SMALL CRAFT BOAT</t>
  </si>
  <si>
    <t>WEBB PD WILL USE FOR WATER RESCUE AND RECOVERY.</t>
  </si>
  <si>
    <t>2YTRL451576013</t>
  </si>
  <si>
    <t>DSOUTMOTO</t>
  </si>
  <si>
    <t>OUTBOARD MOTOR</t>
  </si>
  <si>
    <t>WEBB PD WILL USE TO POWER WATER RESCUE AND BODY RECOVERY EQUIPMENT</t>
  </si>
  <si>
    <t>2YTRL451576015</t>
  </si>
  <si>
    <t>2YTRL452200085</t>
  </si>
  <si>
    <t>WEBB PD WILL USE TO PICK UP AWARDED HEAVY EQUIPMENT AND MOVE RESCUE EQUIPMENT TO NATURAL DISASTER EVENTS.</t>
  </si>
  <si>
    <t>2YTRL451363418</t>
  </si>
  <si>
    <t>WEBB PD WILL USE FOR POTABLE WATER IN CASE OF NATURAL DISASTERS OR WHEN ONE OF OUR WATER WELLS NEEDS TO BE SHUT DOWN FOR REPAIR.</t>
  </si>
  <si>
    <t>2YTRL452552601</t>
  </si>
  <si>
    <t>TRAILER,BOAT</t>
  </si>
  <si>
    <t>WEBB PD WILL USE THIS EQUIPMENT TO TRANSPORT OUR RESCUE BOAT TO WATER RESCUES AND RECOVERY.</t>
  </si>
  <si>
    <t>2YTRL452200086</t>
  </si>
  <si>
    <t>DSLAWNMOW</t>
  </si>
  <si>
    <t>LAWN MOWER</t>
  </si>
  <si>
    <t>WEBB PD WILL USE TO MAINTAIN PROPERTY AROUND POLICE DEPT AND POLICE DEPT STORAGE BUILDINGS.</t>
  </si>
  <si>
    <t>2YTRL451927753</t>
  </si>
  <si>
    <t>LOADER,SCOOP TYPE</t>
  </si>
  <si>
    <t>WEBB PD WILL USE THIS TO BUILD AND MAINTAIN A POLICE DEPT GUN RANGE.</t>
  </si>
  <si>
    <t>2YTRL452340461</t>
  </si>
  <si>
    <t>DSFAN0000</t>
  </si>
  <si>
    <t>FAN</t>
  </si>
  <si>
    <t>WEBB PD WILL USE TO CIRCULATE AIR AT GUN RANGE AND POLICE DEPT SHOP.</t>
  </si>
  <si>
    <t>2YTRL451998133</t>
  </si>
  <si>
    <t>DSCOPIER1</t>
  </si>
  <si>
    <t>COPIER, NETWORK</t>
  </si>
  <si>
    <t>WEBB PD WILL USE TO REPLACE OUTDATED COPIERS AT THE POLICE DEPT.</t>
  </si>
  <si>
    <t>WEST BLOCTON POLICE DEPT (2YTNGL)</t>
  </si>
  <si>
    <t>2YTNGL51786949</t>
  </si>
  <si>
    <t>SHIPPING AND STORAG</t>
  </si>
  <si>
    <t>THIS WOULD BE USED TO STORE EQUIPMENT AT THE DEPARTMENT TRAINING RANGE.</t>
  </si>
  <si>
    <t>AR</t>
  </si>
  <si>
    <t>BELLA VISTA PD (2YTA2S)</t>
  </si>
  <si>
    <t>2YTA2S52481623</t>
  </si>
  <si>
    <t>TRUCK,UTILITY</t>
  </si>
  <si>
    <t>THE BELLA VISTA POLICE DEPARTMENT WOULD UTILIZE THIS HMMWV FOR TRANSPORTING EQUIPMENT, TRANSPORTING SWAT TEAM PERSONNEL, SWAT OPERATIONS, SEARCH AND RESCUE OPERATIONS, AND SEVERE WEATHER EVENTS. THIS EQUIPMENT WILL BE USED FOR LAW ENFORCEMENT PURPOSES ONLY.</t>
  </si>
  <si>
    <t>2YTA2S52481682</t>
  </si>
  <si>
    <t>THE BELLA VISTA POLICE DEPARTMENT WOULD UTILIZE THIS TRUCK FOR MOVING EQUIPMENT AND PERSONNEL. THIS EQUIPMENT WILL BE USED FOR LAW ENFORCEMENT PURPOSES ONLY.</t>
  </si>
  <si>
    <t>2YTA2S52481681</t>
  </si>
  <si>
    <t>2YTA2S52279837</t>
  </si>
  <si>
    <t>THE BELLA VISTA POLICE DEPARTMENT WOULD UTILIZE THIS VEHICLE FOR TRANSPORTING EQUIPMENT, SEARCH AND RESCUE OPERATIONS, AND SEVERE WEATHER EVENTS. THIS EQUIPMENT WILL BE USED FOR LAW ENFORCEMENT PURPOSES ONLY.</t>
  </si>
  <si>
    <t>2YTA2S52279836</t>
  </si>
  <si>
    <t>2YTA2S52340387</t>
  </si>
  <si>
    <t>2YTA2S52481595</t>
  </si>
  <si>
    <t>THE BELLA VISTA POLICE DEPARTMENT WOULD UTILIZE THIS TRAILER TO STORE AND MOVE LAW ENFORCEMENT EQUIPMENT AND ATV'S. THIS TRAILER WILL BE USED FOR LAW ENFORCEMENT PURPOSES ONLY.</t>
  </si>
  <si>
    <t>2YTA2S52481594</t>
  </si>
  <si>
    <t>2YTA2S52279793</t>
  </si>
  <si>
    <t>ENGINEER EQUIPMENT TRAILER</t>
  </si>
  <si>
    <t>THE BELLA VISTA POLICE DEPARTMENT WOULD UTILIZE THIS TRAILER FOR MOVING PD EQUIPMENT AND TRANSPORTATION OF VEHICLES. THIS EQUIPMENT WILL BE USED FOR LAW ENFORCEMENT PURPOSES ONLY.</t>
  </si>
  <si>
    <t>2YTA2S52279794</t>
  </si>
  <si>
    <t>2YTA2S52481419</t>
  </si>
  <si>
    <t>THE BELLA VISTA POLICE DEPARTMENT WOULD UTILIZE THIS TRAILER FOR MOVING PD EQUIPMENT AND TRANSPORTATION OF VEHICLES AND MOTORCYCLES. THIS EQUIPMENT WILL BE USED FOR LAW ENFORCEMENT PURPOSES ONLY.</t>
  </si>
  <si>
    <t>2YTA2S52279797</t>
  </si>
  <si>
    <t>UTILITY VEHICLE,4WD</t>
  </si>
  <si>
    <t>THE BELLA VISTA POLICE DEPARTMENT WOULD UTILIZE THIS VEHICLE FOR SWAT OPERATIONS, SEARCH AND RESCUE OPERATIONS, AND SEVERE WEATHER EVENTS. THIS EQUIPMENT WILL BE USED FOR LAW ENFORCEMENT PURPOSES ONLY.</t>
  </si>
  <si>
    <t>2YTA2S52279796</t>
  </si>
  <si>
    <t>2YTA2S52279835</t>
  </si>
  <si>
    <t>THE BELLA VISTA POLICE DEPARTMENT WOULD UTILIZE THIS FORKLIFT FOR MOVING EQUIPMENT. THIS EQUIPMENT WILL BE USED FOR LAW ENFORCEMENT PURPOSES ONLY.</t>
  </si>
  <si>
    <t>2YTA2S52209587</t>
  </si>
  <si>
    <t>THE BELLA VISTA POLICE DEPARTMENT WOULD UTILIZE THESE TOOL BOXES OR TOOLS FOR THE UPKEEP AND MAINTENANCE OF POLICE DEPARTMENT VEHICLES AND EQUIPMENT. THIS EQUIPMENT WILL BE USED FOR LAW ENFORCEMENT PURPOSES ONLY.</t>
  </si>
  <si>
    <t>2YTA2S52209589</t>
  </si>
  <si>
    <t>THE BELLA VISTA POLICE DEPARTMENT WOULD UTILIZE THESE TOOL BOXES AND TOOLS FOR THE UPKEEP AND MAINTENANCE OF POLICE DEPARTMENT VEHICLES AND EQUIPMENT. THIS EQUIPMENT WILL BE USED FOR LAW ENFORCEMENT PURPOSES ONLY.</t>
  </si>
  <si>
    <t>2YTA2S52481684</t>
  </si>
  <si>
    <t>TOOL KIT,URBAN OPS</t>
  </si>
  <si>
    <t>2YTA2S51787019</t>
  </si>
  <si>
    <t>THE BELLA VISTA POLICE DEPARTMENT WOULD UTILIZE THIS STORAGE CONTAINER TO STORE AND HOUSE POLICE EQUIPMENT. THIS EQUIPMENT WILL BE USED FOR LAW ENFORCEMENT PURPOSES ONLY.</t>
  </si>
  <si>
    <t>2YTA2S52209579</t>
  </si>
  <si>
    <t>MOLLE RUCKSACK SET, MEDIUM - OCP</t>
  </si>
  <si>
    <t>THE BELLA VISTA POLICE DEPARTMENT WOULD UTILIZE THESE PACKS FOR STORING AND CARRYING SEARCH AND RESCUE EQUIPMENT. THIS EQUIPMENT WILL BE USED FOR LAW ENFORCEMENT PURPOSES ONLY.</t>
  </si>
  <si>
    <t>2YTA2S52209582</t>
  </si>
  <si>
    <t>2YTA2S52209798</t>
  </si>
  <si>
    <t>DOJ/USMS AR LITTLE ROCK (2YTMU1)</t>
  </si>
  <si>
    <t>2YTMU152067212</t>
  </si>
  <si>
    <t>PUBLIC ADDRESS SET</t>
  </si>
  <si>
    <t>TO BE USED BY US MARSHALS FUGITIVE TASK FORCE FOR BARRICADED SUBJECTS.</t>
  </si>
  <si>
    <t>NORTH LITTLE ROCK POLICE DEPT (2YT107)</t>
  </si>
  <si>
    <t>2YT10751857160</t>
  </si>
  <si>
    <t>DSATV4WHE</t>
  </si>
  <si>
    <t>ALL TERRAIN VEHICLE, 4 WHEEL</t>
  </si>
  <si>
    <t>FOR LAW ENFORCEMENT USE BY OFFICERS OF THE NORTH LITTLE ROCK POLICE DEPARTMENT. TO BE UTILIZED FOR MONITORING ACTIVITIES IN THE OFF ROAD AREA OF CITY PARKS. ALSO FOR USE DURING EVENTS SURROUNDING COUNTER NARCOTICS AND COUNTER TERRORISM AS WELL AS NATURAL DISASTER AID AND RECOVERY.</t>
  </si>
  <si>
    <t>2YT10752139093</t>
  </si>
  <si>
    <t>GENERATOR,HAND HELD</t>
  </si>
  <si>
    <t>FOR LAW ENFORCEMENT USE BY OFFICERS OF THE NORTH LITTLE ROCK POLICE DEPARTMENT. TO BE ISSUED FOR REPLACEMENT OF OUT OF SERVICE GENERATORS USED DURING TRAINING EVENTS AS WELL AS INCIDENTS INVOLVING NATURAL DISASTER AID AND RECOVERY.</t>
  </si>
  <si>
    <t>2YT10752139092</t>
  </si>
  <si>
    <t>2YT10752139095</t>
  </si>
  <si>
    <t>2YT10752139094</t>
  </si>
  <si>
    <t>2YT10751927464</t>
  </si>
  <si>
    <t>LIGHT,CHEMILUMINESC</t>
  </si>
  <si>
    <t>FOR LAW ENFORCEMENT USE BY OFFICERS OF THE NORTH LITTLE ROCK POLICE DEPARTMENT. TO BE ISSUED TO OFFICERS FOR USE DURING INCIDENTS INVOLVING COUNTER NARCOTICS AND COUNTER TERRORISM ACTIVITIES AS WELL AS NATURAL DISASTER AID AND RECOVERY.</t>
  </si>
  <si>
    <t>2YT10751857159</t>
  </si>
  <si>
    <t>BAG,BARRACKS</t>
  </si>
  <si>
    <t>FOR LAW ENFORCEMENT USE BY OFFICERS OF THE NORTH LITTLE ROCK POLICE DEPARTMENT. TO BE ISSUED TO OFFICERS FOR STORAGE OF EQUIPMENT UTILIZED DURING INCIDENTS INVOLVING COUNTER NARCOTICS AND COUNTER TERRORISM AS WELL AS NATURAL DISASTER AID AND RECOVERY.</t>
  </si>
  <si>
    <t>2YT10751857158</t>
  </si>
  <si>
    <t>BAG,CLOTHING</t>
  </si>
  <si>
    <t>PEA RIDGE POLICE DEPT (2YTJGP)</t>
  </si>
  <si>
    <t>2YTJGP52068446</t>
  </si>
  <si>
    <t>THE PEA RIDGE POLICE DEPARTMENT WILL UTILIZE THIS LIGHT SET FOR ILLUMINATING SCENES RELATED TO SEARCH AND RESCUE, AFTER NATURAL DISASTERS, AND POTENTIAL CRIME SCENES. THIS WILL BE USED FOR LAW ENFORCEMENT PURPOSES ONLY.</t>
  </si>
  <si>
    <t>SHERIDAN POLICE DEPT (2YTK14)</t>
  </si>
  <si>
    <t>2YTK1452068536</t>
  </si>
  <si>
    <t>THE SHERIDAN POLICE DEPARTMENT WILL USE THESE DIGITAL CAMERAS FOR CAPTURING PICTURES OF PHYSICAL EVIDENCE AT CRIME SCENES RELATED TO DRUG INVESTIGATIONS, TERRORISM INVESTIGATIONS, AND ACTIVE KILLER INVESTIGATIONS.  IT WILL ALSO BE USED DURING SURVEILLANCE RELATED TO DRUG AND TERRORISM INVESTIGATIONS.  OUR DEPARTMENT CURRENTLY HAS A FEW EXTRA NIKON LENS ALREADY SO WE WOULD NOT HAVE TO SPEND MONEY ON THIS PROJECT.  THIS WOULD BE USED FOR LAW ENFORCEMENT PURPOSES ONLY.</t>
  </si>
  <si>
    <t>2YTK1452068915</t>
  </si>
  <si>
    <t>DSLENS001</t>
  </si>
  <si>
    <t>LENS, CAMERA</t>
  </si>
  <si>
    <t>THE SHERIDAN POLICE DEPARTMENT WILL USE THESE LENS TO DOCUMENT EVIDENCE AT THE SCENE OF NARCOTIC INVESTIGATIONS, TERRORISM INVESTIGATIONS AND SURVEILLANCE, AND ACTIVE KILLER SCENES.  THESE WILL BE USED FOR LAW ENFORCEMENT PURPOSES ONLY.</t>
  </si>
  <si>
    <t>2YTK1452068917</t>
  </si>
  <si>
    <t>2YTK1452481489</t>
  </si>
  <si>
    <t>DSFLASH00</t>
  </si>
  <si>
    <t>FLASH, CAMERA</t>
  </si>
  <si>
    <t>THE SHERIDAN POLICE DEPARTMENT IS REQUESTING THE CAMERA FLASHES TO USE FOR EMERGENCY OPERATIONS AT THE POLICE DEPARTMENT.  THIS EQUIPMENT WOULD GREATLY BENEFIT THE POLICE DEPARTMENT WITH ACTIVE SHOOTER, COUNTER DRUG AND COUNTER TERRORISM INCIDENTS.  THE EQUIPMENT WILL BE USED FOR LAW ENFORCEMENT PURPOSES ONLY.</t>
  </si>
  <si>
    <t>2YTK1452260623</t>
  </si>
  <si>
    <t>DSTRIPOD0</t>
  </si>
  <si>
    <t>TRIPOD, CAMERA</t>
  </si>
  <si>
    <t>THE SHERIDAN POLICE DEPARTMENT WILL USE THESE TRIPODS TO HELP PHOTOGRAPH EVIDENCE AT THE SCENE OF NARCOTICS INVESTIGATIONS, ACTIVE KILLER INVESTIGATIONS, TERRORISM INVESTIGATIONS, AND OTHER INCIDENTS DEEMED NECESSARY.  OFFICERS WILL ALSO USE THIS EQUIPMENT DURING TRAINING FOR THE ABOVE LISTED INCIDENTS.  THIS WILL BE USED FOR LAW ENFORCEMENT PURPOSES ONLY.</t>
  </si>
  <si>
    <t>TEXARKANA POLICE DEPT (2YTLR8)</t>
  </si>
  <si>
    <t>2YTLR852552706</t>
  </si>
  <si>
    <t>LIFT,MOTOR VEHICLE</t>
  </si>
  <si>
    <t>JUSTIFICATION FOR VEHICLE LIFT FOR LAW ENFORCEMENT USE ONLY ENSURING SAFE AND EFFICIENT MAINTENANCE AND TIRE REPAIR TO KEEP PATROL AND SPECIALTY UNITS MISSION-READY. IT ENABLES RAPID TURNAROUND, UNDERCARRIAGE INSPECTIONS FOR CONTRABAND AND HIDDEN COMPARTMENTS TO SUPPORT INTERDICTION, ENHANCES TRAINING OPPORTUNITIES, AND MAINTAINS SPECIALIZED VEHICLES VITAL FOR COUNTER-TERRORISM AND CRITICAL RESPONSE OPERATIONS.</t>
  </si>
  <si>
    <t>2YTLR852613553</t>
  </si>
  <si>
    <t>TEXARKANA PD LAW ENFORCEMENT USE ONLY. ACQUISITION OF GYM EQUIPMENT IS ESSENTIAL TO MAINTAIN OFFICER PHYSICAL FITNESS AND MENTAL RESILIENCE. REGULAR TRAINING BUILDS STRENGTH, ENDURANCE, AND STRESS MANAGEMENT, ENSURING PREPAREDNESS TO MEET THE DEMANDS OF LAW ENFORCEMENT DUTIES AND CRITICAL INCIDENTS WHILE PROMOTING LONG-TERM HEALTH AND READINESS.</t>
  </si>
  <si>
    <t>2YTLR852552708</t>
  </si>
  <si>
    <t>THE FLOOR BUFFER IS ESSENTIAL FOR MAINTAINING A CLEAN, SAFE, AND PROFESSIONAL TRAINING CENTER USED EXCLUSIVELY FOR LAW ENFORCEMENT. PROPER UPKEEP SUPPORTS READINESS FOR COUNTERTERRORISM, DRUG INTERDICTION, AND TACTICAL TRAINING BY REDUCING HAZARDS, PRESERVING FACILITIES, AND ENSURING A PROFESSIONAL ENVIRONMENT THAT REFLECTS THE MISSION AND DISCIPLINE OF LAW ENFORCEMENT OPERATIONS.</t>
  </si>
  <si>
    <t>AZ</t>
  </si>
  <si>
    <t>ARIZONA DEPT OF PUBLIC SAFETY (2YTJLV)</t>
  </si>
  <si>
    <t>2YTJLV52340636</t>
  </si>
  <si>
    <t>DSCART000</t>
  </si>
  <si>
    <t>CART, MOTORIZED</t>
  </si>
  <si>
    <t>THE UNIT WILL BE USED AT THE RANGE AND THE TRACK IN THE OPERATIONAL TRAINING UNIT OF AZ DPS. THEY WILL BE USED THE TRANSPORT CADETS, SWORN PERSONNEL AND SUPPLIES AS NEEDED,</t>
  </si>
  <si>
    <t>2YTJLV52340637</t>
  </si>
  <si>
    <t>2YTJLV51787308</t>
  </si>
  <si>
    <t>KIT BAG,FLYER'S</t>
  </si>
  <si>
    <t>BAGS WILL BE USED BY SWORN OFFICERS TO CARRY THEIR TACTICAL HELMETS AND EAR PROTECTORS.</t>
  </si>
  <si>
    <t>DOJ/DEA PHOENIX DIV (2YTQK9)</t>
  </si>
  <si>
    <t>2YTQK952410828</t>
  </si>
  <si>
    <t>ILLUMINATOR,INTEGRATED,SMALL ARMS</t>
  </si>
  <si>
    <t>WILL BE UTILIZED BY DEA SRT ON ENFORCEMENT OPERATIONS ON A WEEKLY BASIS</t>
  </si>
  <si>
    <t>2YTQK952340830</t>
  </si>
  <si>
    <t>2YTQK952410827</t>
  </si>
  <si>
    <t>DOJ/FBI PHOENIX (2YTMSD)</t>
  </si>
  <si>
    <t>2YTMSD52068403</t>
  </si>
  <si>
    <t>THESE OLDER REFLEX SIGHTS WILL BE INSTALLED ON FBI SIMUNITIONS SYSTEMS TO BETTER REPLICATE THE CURRENT OPERATIONAL SIGHTING SYSTEM DURING TRAINING. SITE HAS BEEN CONTACTED REGARDING CONDITION AND FBI WILL REPAIR SYSTEMS AS NEEDED. THESE WILL PROVIDE CONSIDERABLE SAVINGS TO FBI TRAINING COSTS.</t>
  </si>
  <si>
    <t>2YTMSD51998401</t>
  </si>
  <si>
    <t>THESE PLR-3 RANGE FINDERS WILL BE ISSUED FOR USE BY FBI SNIPERS AND SURVEILLANCE ASSETS. THESE ROBUST SYSTEMS WILL PROVIDE ACCURATE MEASUREMENTS DURING OBSERVATION AND DRONE OPERATIONS. SITE HAS BEEN CONTACTED REGARDING CONDITION OF THESE SYSTEMS. FBI WILL REPAIR AS NEEDED.</t>
  </si>
  <si>
    <t>2YTMSD51998402</t>
  </si>
  <si>
    <t>THESE RULR SYSTEMS WILL BE USED BY FBI SURVEILLANCE TEAMS. THEY WILL BE INSTALLED ON OBSERVATION PLATFORMS TO PROVIDE ACCURATE MEASUREMENTS TO SUPPORT LONG RANGE SURVEILLANCE AND DRONE OPERATIONS. SITE HAS BEEN CONTACTED REGARDING CONDITION. FBI WILL REPAIR SYSTEMS AS NEEDED.</t>
  </si>
  <si>
    <t>TONTO APACHE POLICE DEPARTMENT (2YTRQ7)</t>
  </si>
  <si>
    <t>2YTRQ752340284</t>
  </si>
  <si>
    <t>DSSWEEPER</t>
  </si>
  <si>
    <t>ROAD CLEARING, CLEANING, AND MARKING</t>
  </si>
  <si>
    <t>THIS ROAD CLEANING MACHINE WILL BE USED BY OFFICERS OF THE TONTO APACHE POLICE DEPARTMENT TO CLAN THE PARKING LOTS AT THE POLICE DEPARTMENT AND TO CLEAN THE EVIDENCE TRANSFER AREA.</t>
  </si>
  <si>
    <t>2YTRQ752279829</t>
  </si>
  <si>
    <t>THIS FORKLIFT WILL BE USED BY OFFICERS OF THE TONTO APACHE POLICE DEPARTMENT TO MOVE PROPERTY AND EVIDENCE THAT IS TOO HEAVY TO LIFT AND TO UNLOAD PROPERTY ACQUIRED THROUGH THE LESO PROGRAM.</t>
  </si>
  <si>
    <t>2YTRQ751716993</t>
  </si>
  <si>
    <t>ELEVATOR,PORTABLE</t>
  </si>
  <si>
    <t>THIS ELEVATOR WOULD BE USED BY CERTIFIED OFFICERS OF THE TONTO APACHE POLICE DEPARTMENT TO REPAIR LIGHT FIXTURES ON THE POLICE DEPARTMENT BUILDING, MONITOR SECURITY AT OUTDOOR CONCERTS, BUILDING MAINTENANCE, ASSIST IN THE STORAGE OF EVIDENCE, AND REACH UPPER AREAS OF THE PARKING LOT NOT ACCESSIBLE WITHOUT A LADDER.</t>
  </si>
  <si>
    <t>2YTRQ751998572</t>
  </si>
  <si>
    <t>THIS UNIT WOULD BE USED BY OFFICERS OF TONTO APACHE POLICE DEPARTMENT TO PERFORM REPAIRS AND GENERAL MAINTENANCE OF POLICE PATROL VEHICLES, POLICE UTVS, AND POLICE ATVS.</t>
  </si>
  <si>
    <t>2YTRQ752068570</t>
  </si>
  <si>
    <t>THESE TOOL KITS WOULD BE USED BY OFFICERS OF THE TONTO APACHE POLICE DEPARTMENT FOR REPAIR AND GENERAL MAINTENANCE OF POLICE PATROL VEHICLES, POLICE UTVS, AND POLICE ATVS.</t>
  </si>
  <si>
    <t>2YTRQ752068571</t>
  </si>
  <si>
    <t>PRINTER,AUTOMATIC DATA PROCESSING</t>
  </si>
  <si>
    <t>THESE PRINTERS WOULD BE USED BY OFFICERS OF TONTO APACHE POLICE DEPARTMENT TO PRINT DEPARTMENTAL REPORTS.</t>
  </si>
  <si>
    <t>TUCSON POLICE DEPT (2YTLZ8)</t>
  </si>
  <si>
    <t>2YTLZ852411158</t>
  </si>
  <si>
    <t>FEEDER,WIRE,WELDING</t>
  </si>
  <si>
    <t>THE TUCSON POLICE DEPT IS SEEKING THIS ITEM TO BE USED IN MANUFACTURING PROTESTOR DEVICES TO BE USED BY THE RAPID RESPONSE TEAM IN TRAINING TO DEFEAT PROTESTOR DEVICES THAT MAY BE ENCOUNTERED DURING PUBLIC DEMONSTRATIONS.</t>
  </si>
  <si>
    <t>2YTLZ852068991</t>
  </si>
  <si>
    <t>THE TUCSON POLICE DEPT IS REQUESTING THIS ITEM TO BE USED IN MAINTAINING THE HUMVEES THAT ARE ASSIGNED TO THE RAPID RESPONSE UNIT IN THE TUCSON POLICE DEPT.</t>
  </si>
  <si>
    <t>2YTLZ852139501</t>
  </si>
  <si>
    <t>TOOL KIT,ARMY AIRCRAFT ACCIDENT INVESTIG</t>
  </si>
  <si>
    <t>THE TUCSON POLICE DEPT IS SEEKING THIS CASE FOR DETECTIVES TO USE FOR STORAGE OF SEARCH WARRANT ITEMS TO INCLUDE PAPERWORK, COLLECTION TOOLS, ETC.  THE STORAGE BOX WOULD BE USED TO KEEP ITEMS IN ONE LOCATION FOR EASY USE ON INVESTIGATION CALL OUTS.</t>
  </si>
  <si>
    <t>2YTLZ852209500</t>
  </si>
  <si>
    <t>BOX,SHIPPING</t>
  </si>
  <si>
    <t>2YTLZ852341142</t>
  </si>
  <si>
    <t>DSCASE004</t>
  </si>
  <si>
    <t>SHIPPING CASE</t>
  </si>
  <si>
    <t>THE TUCSON POLICE DEPT IS REQUESTING THESE CASES FOR USE BY OFFICERS TO STORE PATROL RIFLES SO THAT THEY ARE PROTECTED WHILE BEING STORED INSIDE THE TRUNK AREA OF PATROL VEHICLES WHILE ON PATROL.</t>
  </si>
  <si>
    <t>2YTLZ852138987</t>
  </si>
  <si>
    <t>DSPELCNSM</t>
  </si>
  <si>
    <t>CASE, PELICAN, SMALL, &lt;100 SQ IN</t>
  </si>
  <si>
    <t>THE TUCSON POLICE DEPT IS REQUESTING CASE TO STORE SMALL ITEMS SUCH AS CAMERAS, MEASURING EQUIPMENT AND OTHER ITEMS THAT ARE STORED IN DEPARTMENT VEHICLES AND USED FOR INVESTIGATIONS.</t>
  </si>
  <si>
    <t>2YTLZ852622539</t>
  </si>
  <si>
    <t>THE TUCSON POLICE DEPARTMENT IS SEEKING THESE CASES TO BE USED BY OFFICERS AND DETECTIVES TO STORE PATROL AND INVESTIGATIVE EQUIPMENT IN THEIR PATROL VEHICLES FOR USE DURING PATROL AND  CALL OUT FUNCTIONS.</t>
  </si>
  <si>
    <t>2YTLZ852139502</t>
  </si>
  <si>
    <t>THE TUCSON POLICE DEPT IS SEEKING THIS CASES FOR DETECTIVES TO USE FOR STORAGE OF SEARCH WARRANT ITEMS TO INCLUDE PAPERWORK, COLLECTION TOOLS, ETC.  THE STORAGE BOXES WOULD BE USED TO KEEP ITEMS IN ONE LOCATION FOR EASY USE ON INVESTIGATION CALL OUTS.</t>
  </si>
  <si>
    <t>2YTLZ852341141</t>
  </si>
  <si>
    <t>THE TUCSON POLICE DEPT IS REQUESTING THESE CASES FOR STORING RIFLES THAT ARE UTILIZED BY UNITS SUCH AS SWAT.  THE CASES WOULD BE USED TO PROTECT DEPT RIFLES AND THEIR ATTACHED EQUIPMENT</t>
  </si>
  <si>
    <t>2YTLZ852270065</t>
  </si>
  <si>
    <t>SHELTER,ICS IMPROVE</t>
  </si>
  <si>
    <t>THE TUCSON POLICE DEPT IS SEEKING THESE SHELTERS TO BE USED BY THE RAPID RESPONSE TEAM FOR DEPLOYMENTS THAT REQUIRE STAYING IN THE FIELD FOR AN EXTENDED PERIOD OF TIME TO INCLUDE AREA SEARCHES AND MISSING PERSONS.</t>
  </si>
  <si>
    <t>2YTLZ852411153</t>
  </si>
  <si>
    <t>TENT,COMBAT,TWO MAN</t>
  </si>
  <si>
    <t>THE TUCSON POLICE DEPT IS SEEKING THESE TENTS TO BE USED BY THE RAPID RESPONSE TEAM WHEN THEY ARE DEPLOYED ON OPERATIONS IN THE FIELD TO INCLUDE AREA SEARCHES AND CALLS FOR PUBLIC ASSISTANCE.</t>
  </si>
  <si>
    <t>2YTLZ852270061</t>
  </si>
  <si>
    <t>TARPAULIN</t>
  </si>
  <si>
    <t>THE TUCSON POLICE DEPT IS SEEKING THESE TARPAULINS TO BE USED FOR SHADE BY THE RAPID RESPONSE TEAM WHEN THEY RESPOND TO AREA SEARCHES FOR MISSING PERSONS BODY RECOVERIES, AND OTHER FUNCTIONS.</t>
  </si>
  <si>
    <t>2YTLZ852270059</t>
  </si>
  <si>
    <t>THE TUCSON POLICE DEPT IS SEEKING THESE TARPAULIN TO BE USED TO PROVIDE SHADE WHEN THE RAPID RESPONSE TEAM RESPONDS TO AREA SEARCHES FOR MISSING PERSONS, BODY RECOVERIES, AND OTHER DEPARTMENT FUNCTIONS.</t>
  </si>
  <si>
    <t>2YTLZ852552065</t>
  </si>
  <si>
    <t>BAG,FLYER'S HELMET</t>
  </si>
  <si>
    <t>THE TUCSON POLICE DEPARTMENT IS SEEKING THIS HELMET BAG TO BE ISSUED TO PATROL OFFICERS TO STORE THEIR ISSUED RIOT HELMETS AND GAS MASKS IN WHILE ON PATROL SO AS TO PROTECT THE EQUIPMENT FROM DAMAGE WHILE STORED IN THEIR PATROL VEHICLES.</t>
  </si>
  <si>
    <t>2YTLZ852552064</t>
  </si>
  <si>
    <t>THE TUCSON POLICE DEPARTMENT IS SEEKING THESE HELMET BAGS TO BE ISSUED TO PATROL OFFICERS TO STORE THEIR ISSUED RIOT HELMETS AND GAS MASKS IN WHILE ON PATROL SO AS TO PROTECT THE EQUIPMENT FROM DAMAGE WHILE STORED IN THEIR PATROL VEHICLES.</t>
  </si>
  <si>
    <t>2YTLZ852552063</t>
  </si>
  <si>
    <t>2YTLZ852623529</t>
  </si>
  <si>
    <t>THE TUCSON POLICE DEPT IS SEEKING THESE ITEMS TO BE USED BY PATROL OFFICERS TO STORE ITEMS SUCH AS HELMETS AND GAS MASKS IN THEIR PATROL VEHICLES WHILE ON DUTY.</t>
  </si>
  <si>
    <t>2YTLZ852270064</t>
  </si>
  <si>
    <t>THE TUCSON POLICE DEPT IS SEEKING THESE HELMET BAGS FOR MEMBERS OF THE AIR SUPPORT UNIT TO USE FOR STORING THEIR HELMETS AND OTHER FLIGHT RELATED EQUIPMENT.</t>
  </si>
  <si>
    <t>WILLCOX POLICE DEPARTMENT (2YTNPU)</t>
  </si>
  <si>
    <t>2YTNPU52542680</t>
  </si>
  <si>
    <t>THIS TRAILER WILL BE USED PRIMARILY SED FOR THE POLICE DEPARTMENT TRAINING SITE TO INCLUDE RANGE MOBILE MINI TRAINING FACILITY AND AS NEED IN RESPONSE TO EMERGENCY SITUATIONS.</t>
  </si>
  <si>
    <t>2YTNPU52542675</t>
  </si>
  <si>
    <t>THE TRAILER WILL BE USED AS A BACKUP FOR THE WILLCOX POLICE DEPARTMENT.  PRIMARILY WILL BE PREPPED FOR ANY POWER LOSS AT THE POLICE STATION AND THEN CAN BE DEPLOYED AS NEEDED IN EMERGENCY RESPONSES TO POWER NEEDS AT  WATER GENERATING STATIONS WELLS, SANITARY SEWER LIFT STATIONS OR TO POWER COMMAND POSTS IN EMERGENCY SITUATIONS.</t>
  </si>
  <si>
    <t>YUMA POLICE DEPT (2YTN1M)</t>
  </si>
  <si>
    <t>2YTN1M52481589</t>
  </si>
  <si>
    <t>VEHICLE WILL BE USED BY SWORN LAW ENFORCEMENT OFFICERS.  IT WILL SERVE AS A QUICK RESPONSE VEHICLE TO CARRY EQUIPMENT USED TO INVESTIGATE FATAL OR SERIOUS ACCIDENTS AND MAJOR CRIME SCENES.  EQUIPMENT WILL INCLUDE GENERATOR, CONES, TRAFFIC CONTROL DEVICES, A WATER COOLER, AND A FARO OR TRIMBLE GPS MAPPING SYSTEM.</t>
  </si>
  <si>
    <t>2YTN1M52340263</t>
  </si>
  <si>
    <t>BARRIER WILL BE USED BY SWORN LAW ENFORCEMENT PERSONNEL TO PREVENT VEHICLE-BORNE TERRORIST INCIDENTS, TO SECURE CITY STREETS, AND CONTROL VEHICLE ACCESS TO EVENTS AREAS DURING SPECIAL EVENTS, SPECIAL OPERATIONS AND LARGE GATHERINGS.</t>
  </si>
  <si>
    <t>2YTN1M52068516</t>
  </si>
  <si>
    <t>THE YUMA POLICE DEPARTMENT IS REQUESTING THESE ITEMS TO BE ISSUED TO OFFICERS FOR USE WHEN RESPONDING TO CALLS FOR SERVICE WHERE VEHICLE OCCUPANTS ARE UNABLE TO BE EXTRICATED DUE TO SEATBELTS OR USED DURING EMERGENCY SITUATIONS WHERE CLOTHING MUST BE CUT AND REMOVED IN ORDER TO RENDER AID.  ADDITIONALLY, YPD MAINTAINS A FLEET OF OVER 100 VEHICLES WHICH WOULD BE EQUIPPED WITH ONE UNIT EACH.</t>
  </si>
  <si>
    <t>2YTN1M52068493</t>
  </si>
  <si>
    <t>THE YUMA POLICE DEPARTMENT IS REQUESTING THESE ITEMS TO BE USED BY DEPARTMENT FIREARMS ARMORS FOR MAINTENANCE OF ISSUED FIREARMS AND OTHER MECHANICAL EQUIPMENT.  THE ABILITY TO HAVE THESE ITEMS TO BE TAKEN TO RANGE AND OTHER OFF-SITE LOCATIONS WILL GREATLY INCREASE OUR ABILITY TO MAKE REPAIRS AND KEEP EQUIPMENT IN WORKING ORDER.</t>
  </si>
  <si>
    <t>2YTN1M51998482</t>
  </si>
  <si>
    <t>THE YUMA POLICE DEPARTMENT REQUESTS THESE ITEMS TO BE ISSUED TO PATROL OFFICERS AND SPECIAL ENFORCEMENT PERSONNEL FOR ATTACHMENT TO THEIR ISSUED PATROL RIFLES.  ALL OFFICERS ARE ISSUED PATROL RIFLES TO BE USED WHEN RESPONDING TO ARMED SUBJECT CALLS, ACTIVE KILLER EVENTS, OR OTHER CRITICAL INCIDENTS.  OUR SPECIAL ENFORCEMENT TEAM IS EQUIPPED WITH NVGS, THE IR ILLUMINATION ON THESE ITEMS WOULD ASSIST THEM IN CONDUCTING OPERATIONS WITHOUT THE USE OF VISIBLE LIGHTS.</t>
  </si>
  <si>
    <t>2YTN1M51998494</t>
  </si>
  <si>
    <t>THE YUMA POLICE DEPARTMENT IS REQUESTING THESE ITEMS TO BE ISSUED TO PATROL AND SPECIAL ENFORCEMENT OFFICERS FOR ATTACHMENT TO THEIR ISSUED PATROL RIFLE AND SPECIAL USE WEAPONS. THE USE OF WEAPON LIGHTS GREATLY ENHANCES OFFICER'S ABILITY TO IDENTIFY POTENTIAL THREATS IN AN ACTIVE KILLER SITUATION OR OTHER EVENTS OF POTENTIALLY ARMED INDIVIDUALS WHERE POSITIVE THREAT IDENTIFICATION IS ESSENTIAL FOR A SUCCESSFUL OPERATION.</t>
  </si>
  <si>
    <t>2YTN1M52068489</t>
  </si>
  <si>
    <t>THE YUMA POLICE DEPARTMENT IS REQUESTING THESE ITEMS TO BE ISSUED TO OFFICERS AND SPECIAL ENFORCEMENT UNITS TO ASSIST THEM WITH DIM LIGHT OPERATIONS.  THE ABILITY TO USE A SMALL FLASHLIGHT ATTACHED TO BALLISTIC HELMETS OR BODY ARMOR WILL ALLOW OFFICERS TO PERFORM TASKS WITHOUT HAVING TO USE LARGER LIGHTS, GREATLY INCREASING THEIR SAFETY AND ABILITY.</t>
  </si>
  <si>
    <t>2YTN1M51998517</t>
  </si>
  <si>
    <t>THE YUMA POLICE DEPARTMENT IS REQUESTING THESE ITEMS TO BE USED BY OFFICERS WHEN RESPONDING TO AN ACTIVE KILLER OR OTHER MASS CASUALTY EVENT.  THE ITEMS WOULD BE ASSIGNED TO THOSE WHO HAVE RECEIVED ADVANCED TRAINING IN FIRST AID AND OTHER TACTICAL EMERGENCY CASUALTY CARE - TECC.</t>
  </si>
  <si>
    <t>2YTN1M52068512</t>
  </si>
  <si>
    <t>DSELLIPTI</t>
  </si>
  <si>
    <t>ELLIPTICAL</t>
  </si>
  <si>
    <t>THE YUMA POLICE DEPARTMENT IS REQUESTING THIS ITEM TO PLACE IN OUR TRAINING FACILITY IN ORDER TO INCREASE OR MAINTAIN OFFICER FITNESS. OFFICER FITNESS IS REQUIRED IN ORDER FOR OFFICERS TO PERFORM ESSENTIAL DUTIES AND FUNCTION WHEN RESPONDING TO CALLS FOR SERVICE INCLUDING, FOOT PURSUITS, ACTIVE KILLER RESPONSE, VICTIM RESCUE, AND TAKING PERSONS INTO CUSTODY.</t>
  </si>
  <si>
    <t>2YTN1M52209558</t>
  </si>
  <si>
    <t>BAG DEPLOYMENT</t>
  </si>
  <si>
    <t>BAGS REQUIRED FOR USE BY CERTIFIED LAW ENFORCEMENT OFFICERS TO CARRY AND STORE PPE GEAR TO INCLUDE GAS MASKS, CHEMICAL SUITS, BALLISTIC HELMETS AND BOOTS.  BAGS WILL BE SECURED IN THEIR PATROL VEHICLES UNTIL NEEDED AND WILL ALLOW THEM TO CARRY AND MOVE THEIR ASSIGNED PPE GEAR IN A SINGLE CONTAINER.</t>
  </si>
  <si>
    <t>CA</t>
  </si>
  <si>
    <t>AMADOR COUNTY SHERIFF'S OFFICE (2YTAH1)</t>
  </si>
  <si>
    <t>2YTAH151575962</t>
  </si>
  <si>
    <t>ARMOR,TRANSPARENT,V</t>
  </si>
  <si>
    <t>AMADOR COUNTY SHERIFF'S OFFICE WILL USE THIS LEFT HAND WINDSHIELD TO REPLACE THE CURRENT DEFECTIVE WINDSHIELD IN OUR MRAP.  WE HAVE REACHED OUT TO THE DRMO FOR THE CONDITION OF THE WINDSHIELD.</t>
  </si>
  <si>
    <t>2YTAH151575966</t>
  </si>
  <si>
    <t>AMADOR COUNTY SHERIFF'S OFFICE WILL USE THIS WINDSHIELD TO REPLACE THE CURRENT DEFECTIVE WINDSHIELD IN OUR MRAP.  WE HAVE REACHED OUT TO THE DRMO FOR THE CONDITION OF THE WINDSHIELD.</t>
  </si>
  <si>
    <t>2YTAH151575964</t>
  </si>
  <si>
    <t>BLYTHE POLICE DEPARTMENT (2YTBCB)</t>
  </si>
  <si>
    <t>2YTBCB52340688</t>
  </si>
  <si>
    <t>CONTROLLER,WINCH</t>
  </si>
  <si>
    <t>THE BLYTHE POICE DEPT WILL USE THIS WITH OUR LESO MRAP</t>
  </si>
  <si>
    <t>CALAVERAS COUNTY SHERIFF OFFICE (2YTBTV)</t>
  </si>
  <si>
    <t>2YTBTV51928111</t>
  </si>
  <si>
    <t>REQUESTED FOR THE CALAVERAS COUNTY SHERIFF'S OFFICE FOR RANGE USE.</t>
  </si>
  <si>
    <t>2YTBTV51998110</t>
  </si>
  <si>
    <t>2YTBTV52138965</t>
  </si>
  <si>
    <t>REQUEST VEHICLE FOR THE CALAVERAS COUNTY SHERIFF'S OFFICE.  WILL BE USED FOR PERSON AND EQUIPMENT TRANSPORT.</t>
  </si>
  <si>
    <t>2YTBTV52138966</t>
  </si>
  <si>
    <t>2YTBTV51928105</t>
  </si>
  <si>
    <t>REQUEST MOWER FOR THE CALAVERAS COUNTY SHERIFF'S OFFICE.  WILL BE USED TO MAINTAIN THE GROUNDS AND THE SHERIFF'S OFFICE PT TESTING AREA.</t>
  </si>
  <si>
    <t>2YTBTV51716250</t>
  </si>
  <si>
    <t>REQUEST FOR THE CALAVERAS COUNTY SHERIFF'S OFFICE, WILL BE USED AS PART OF PPE DURING REQUIRED ACTIVITY.</t>
  </si>
  <si>
    <t>2YTBTV51786903</t>
  </si>
  <si>
    <t>STRAP CUTTER,RESCUE</t>
  </si>
  <si>
    <t>REQUEST STRAP CUTTERS FOR THE CALAVERAS COUNTY SHERIFF'S OFFICE TO BE PLACED IN DEPARTMENT VEHICLES FOR EMERGENCY USE.</t>
  </si>
  <si>
    <t>2YTBTV5197KM05</t>
  </si>
  <si>
    <t>DSCAMERA2</t>
  </si>
  <si>
    <t>CAMERA, STILL PICTURE</t>
  </si>
  <si>
    <t>2YTBTV5197KM03</t>
  </si>
  <si>
    <t>DSKEYBOA3</t>
  </si>
  <si>
    <t>KEYBOARD</t>
  </si>
  <si>
    <t>2YTBTV5197KM08</t>
  </si>
  <si>
    <t>JACKET,COLD WEATHER</t>
  </si>
  <si>
    <t>2YTBTV5197KM07</t>
  </si>
  <si>
    <t>SHIRT,COLD WEATHER</t>
  </si>
  <si>
    <t>2YTBTV51786908</t>
  </si>
  <si>
    <t>BRIEF CASE</t>
  </si>
  <si>
    <t>REQUEST ITEMS FOR THE CALAVERAS COUNTY SHERIFF'S OFFICE FOR THE TRANSPORT OF SMALL ITEMS.</t>
  </si>
  <si>
    <t>2YTBTV5197KM04</t>
  </si>
  <si>
    <t>GOGGLES,SUN,WIND AN</t>
  </si>
  <si>
    <t>PR</t>
  </si>
  <si>
    <t>2YTBTV51786907</t>
  </si>
  <si>
    <t>MAT,SLEEPING,SELF-I</t>
  </si>
  <si>
    <t>REQUEST MATS FOR THE CALAVERAS COUNTY SHERIFF'S OFFICE FOR ISSUANCE TO DEPUTIES WHO ARE ASSIGNED TO MUTUAL AID OR OVERNIGHT EVENTS.</t>
  </si>
  <si>
    <t>2YTBTV5197KM06</t>
  </si>
  <si>
    <t>DRINKING SYSTEM</t>
  </si>
  <si>
    <t>2YTBTV51928107</t>
  </si>
  <si>
    <t>SLEEPING BAG</t>
  </si>
  <si>
    <t>FOR USE BY THE CALAVERAS SHERIFF'S OFFICE.  THE SHERIFF'S OFFICE IS BUILDING DEPLOYMENT KITS WITH PREVIOUSLY OBTAINED SLEEP MATTRESSES AND WILL COMBINE SLEEPING BAGS WITH MATS.</t>
  </si>
  <si>
    <t>2YTBTV51787000</t>
  </si>
  <si>
    <t>FIELD PACK</t>
  </si>
  <si>
    <t>REQUEST PACKS FOR THE CALAVERAS COUNTY SHERIFF'S OFFICE FOR THE CARRYING OF ISSUED EQUIPMENT AND UNIFORM ITEMS BY DEPUTY STAFF.</t>
  </si>
  <si>
    <t>CLAREMONT POLICE DEPT (2YTCE2)</t>
  </si>
  <si>
    <t>2YTCE252411187</t>
  </si>
  <si>
    <t>MULTIMETER WILL BE USED BY MEMBERS OF THE CLAREMONT POLICE DEPARTMENT FOR THE MAINTENANCE OF DEPARTMENT EQUIPMENT.</t>
  </si>
  <si>
    <t>2YTCE251434056</t>
  </si>
  <si>
    <t>DSWORKST0</t>
  </si>
  <si>
    <t>COMPUTER WORKSTATION</t>
  </si>
  <si>
    <t>COMPUTERS WILL BE USED BY MEMBERS OF THE CLAREMONT POLICE DEPARTMENT TO PROCESS REPORTS ACCESS DOCUMENTS AND CONDUCT INVESTIGATIONS.</t>
  </si>
  <si>
    <t>DHS/ICE HSI LONG BEACH (2YTMGW)</t>
  </si>
  <si>
    <t>2YTMGW52411514</t>
  </si>
  <si>
    <t>BINOCULAR</t>
  </si>
  <si>
    <t>FOR USE BY RESCUE AND LE TEAMS FOR USE TO SEE LONG DISTANCES DURING TRAINING AND OPERATIONS FOR OFFICER SAFETY AND TO SEARCH FOR INJURED PERSONNEL</t>
  </si>
  <si>
    <t>ORANGE COUNTY SHERIFFS DEPT (2YT14Z)</t>
  </si>
  <si>
    <t>2YT14Z51927629</t>
  </si>
  <si>
    <t>COOLER,AIR,EVAPORAT</t>
  </si>
  <si>
    <t>ITEM WILL BE USED BY THE ORANGE COUNTY SHERIFF'S DEPARTMENT FOR THE PURPOSE OF ISSUE TO OUR AIR SUPPORT AND SEARCH AND RESCUE UNITS. THE COOLERS WILL BE USED TO KEEP STAFF COOL DURING EXTENDED OUTDOOR DEPLOYMENTS IN HOT WEATHER ENVIRONMENTS.</t>
  </si>
  <si>
    <t>2YT14Z52340290</t>
  </si>
  <si>
    <t>THESE ITEMS WOULD BE USED BY THE ORANGE COUNTY SHERIFF'S DEPARTMENT. THESE TOOLS COULD BE ISSUED TO OUR PATROL DEPUTIES TO USE IN THE FIELD DURING CALLS FOR SERVICE OR EMERGENCIES. THE TOOLS COULD BE CARRIED IN DUTY OR GO BAGS IN SUPERVISORS CARS OR INDIVDUAL UNITS FOR USE</t>
  </si>
  <si>
    <t>2YT14Z52472153</t>
  </si>
  <si>
    <t>THESE ITEMS WOULD BE USED BY THE ORANGE COUNTY SHERIFF'S DEPARTMENT. THESE TOOLS WOULD BE USED BY OUR RANGE ARMORERS AND SWAT ARMORERS TO ASSIST  IN FIXING AND MAINTAINING DEPARTMENT FIREARMS AND EQUIPMENT. THE TOOLS COULD ALSO BE USED BY OUR QUARTERMASTER UNIT TO HELP FIX AND MAINTAIN THE DEPARTMENT'S NON LETHAL MUNITIONS OPTIONS.</t>
  </si>
  <si>
    <t>2YT14Z52622409</t>
  </si>
  <si>
    <t>THESE ITEMS WOULD BE USED BY THE ORANGE COUNTY SHERIFF'S DEPARTMENT. THESE KITS WOULD BE ISSUED TO OUR PATROL DEPUTIES AND OTHER PATROL ASSIGNED UNITS TO CARRY IN THE FIELD AND USE FOR CALLS FOR SERVICE, MASS CAUSALITY EVENTS OR OTHER CRITICAL INCIDENTS. THE KITS COULD ALSO BE ISSUED TO OUR SCHOOL RESOURCE DEPUTIES TO BE STAGE AT OUR COUNTY'S SCHOOL FOR SIMILAR RESPONSES.</t>
  </si>
  <si>
    <t>2YT14Z52551901</t>
  </si>
  <si>
    <t>THESE ITEMS WOULD BE USED BY THE ORANGE COUNTY SHERIFFS DEPARTMENT. THESE KITS WOULD BE ISSUED TO OUR PATROL DEPUTIES, INVESTIGATORS OR ANY OTHER SWORN PERSONAL THAT ITS ASSIGNED TO FIELD OPERATIONS THE KITS WOULD ASSIST EMERGENCY CARE DURING CALL OUTS, NATURAL DISASTERS, CRITICAL EVENTS, OR MASS CASUALTY EVENTS</t>
  </si>
  <si>
    <t>2YT14Z52059010</t>
  </si>
  <si>
    <t>THESE ITEMS WOULD BE USED BY THE ORANGE COUNTY SHERIFF'S DEPARTMENT. THESE KITS COULD BE ASSIGNED TO PATROL DEPUTIES TO SUPPLEMENT THEIR FIRST AID AND CRITICAL RESPONSE GEAR AND SUPPLIES. THEY COULD BE ASSIGNED TO THE JAIL BARRACKS FOR DEPUTIES TO USE DURING INCIDENTS WITHIN THE JAIL. WE COULD ALSO ISSUE THEM OUR TO OUR SHERIFF'S BUILDINGS TO HAVE IN CASE OF AN EMERGENCY OR INCIDENT.</t>
  </si>
  <si>
    <t>2YT14Z52622411</t>
  </si>
  <si>
    <t>2YT14Z52411212</t>
  </si>
  <si>
    <t>CASE,PHOTOGRAPHIC E</t>
  </si>
  <si>
    <t>THESE ITEMS WOULD BE USED BY THE ORANGE COUNTY SHERIFF'S DEPARTMENT. SEVERAL OF OUR SPECIAL INVESTIGATIONS UNITS AND GENERAL INVESTIGATIONS UNIT HAVE ASKED FOR HARD SHELL CASES OF VARIOUS SIZES AND SHAPES. THEY NEED STORAGE SOLUTIONS FOR VARIOUS TYPES OF INVESTIGATIVE TOOLS AND EQUIPMENT IN THEIR VEHICLES WHEN DEPLOYED IN THE FIELD.</t>
  </si>
  <si>
    <t>2YT14Z52279791</t>
  </si>
  <si>
    <t>SHREDDING MACHINE,MULTIMEDIA</t>
  </si>
  <si>
    <t>ITEM WILL BE USED BY THE ORANGE COUNTY SHERIFF'S DEPARTMENT FOR THE PURPOSE OF DESTRUCTION OF SENSITIVE DATA STORED ON MULTIMEDIA DEVICES. THE UNIT WILL BE PLACED WITH OUR TECHNOLOGY DIVISION AND BE USED COUNTY WIDE.</t>
  </si>
  <si>
    <t>2YT14Z52321063</t>
  </si>
  <si>
    <t>COVERALLS,UTILITY</t>
  </si>
  <si>
    <t>THESE ITEMS WOULD BE USED BY THE ORANGE COUNTY SHERIFF'S DEPARTMENT. THESE ITEMS COULD BE USED BY OUR DRUG INTERDICTION AND K9 DEPUTIES. THE COVERALLS COULD BE USED TO PROTECT UNIFORMS WHILE THEY ARE SEARCHING CARS, TRAILERS, BUILDINGS, LANDSCAPE AND OTHER AREAS THAT CONTAIN CONTRABAND OR EVIDENCE.</t>
  </si>
  <si>
    <t>2YT14Z52321062</t>
  </si>
  <si>
    <t>2YT14Z52321061</t>
  </si>
  <si>
    <t>2YT14Z52250368</t>
  </si>
  <si>
    <t>THESE ITEMS WOULD BE USED BY THE ORANGE COUNTY SHERIFF'S DEPARTMENT. THESE ITEMS WOULD BE USED BY OUR K9 DIVISION. THE DEPUTIES HAVE ASKED FOR SIMILAR SUITS TO HELP IN TRAINING THE DOGS. THE SUITS WILL HELP COVER UNIFORMS AND CLOTHING ON AGITATORS DURING TRAINING SESSIONS.</t>
  </si>
  <si>
    <t>2YT14Z52250367</t>
  </si>
  <si>
    <t>2YT14Z52250370</t>
  </si>
  <si>
    <t>2YT14Z52260615</t>
  </si>
  <si>
    <t>DRAWERS,COLD WEATHE</t>
  </si>
  <si>
    <t>THESE ITEMS WOULD BE USED BY THE ORANGE COUNTY SHERIFF'S DEPARTMENT. THESE CLOTHING ITEMS COULD BE ISSUED TO OUR HARBOR DIVISION DEPUTIES DURING COLD  AND OR WET WEATHER DEPLOYMENTS OR CALLS FOR SERVICE. OUR SEARCH AND RESCUE DIVISION COULD ALSO USE THE ITEMS FOR THE SAME REASONS.</t>
  </si>
  <si>
    <t>2YT14Z52340612</t>
  </si>
  <si>
    <t>PARKA,WORKING (NAVY) TYPE III</t>
  </si>
  <si>
    <t>THESE ITEMS WOULD BE USED BY THE ORANGE COUNTY SHERIFF'S DEPARTMENT. THESE CLOTHING ITEMS COULD BE ISSUED TO OUR HARBOR DIVISION DEPUTIES DURING COLD WET WEATHER DEPLOYMENTS OR CALLS FOR SERVICE. OUR SEARCH AND RESCUE DIVISION COULD ALSO USE THE ITEMS FOR THE SAME REASONS.</t>
  </si>
  <si>
    <t>2YT14Z52340609</t>
  </si>
  <si>
    <t>2YT14Z52340607</t>
  </si>
  <si>
    <t>2YT14Z52340605</t>
  </si>
  <si>
    <t>2YT14Z52340604</t>
  </si>
  <si>
    <t>2YT14Z52321060</t>
  </si>
  <si>
    <t>2YT14Z5248JG01</t>
  </si>
  <si>
    <t>2YT14Z52119352</t>
  </si>
  <si>
    <t>UNDERSHIRT,COLD WEA</t>
  </si>
  <si>
    <t>THESE ITEMS WOULD BE USED BY THE ORANGE COUNTY SHERIFF'S DEPARTMENT. THESE ITEMS COULD BE ISSUED TO OUR SEARCH AND RESCUE, HARBOR AND CANYON DIVISION FOR DEPUTIES TO USE UNDER THEY UNIFORMS DURING COLD WEATHER DEPLOYMENTS, CALLOUTS OR EVENTS. IT WOULD PROVIDE A BASE LAYER FOR OUR SWORN STAFF WHILE THEY ARE DEPLOYED IN THE FIELD.</t>
  </si>
  <si>
    <t>2YT14Z52119351</t>
  </si>
  <si>
    <t>2YT14Z52189788</t>
  </si>
  <si>
    <t>THESE ITEMS WOULD BE USED BY THE ORANGE COUNTY SHERIFF'S DEPARTMENT. THESE ITEMS COULD BE USED BY DEPUTIES ASSIGNED TO OUR HARBOR, CANYON AND SEARCH AND RESCUE DIVISIONS. THE PANTS COULD BE WORN UNDER THEIR DUTY ISSUED UNIFORMS DURING COLD OR ADVERSE WEATHER CONDITIONS.</t>
  </si>
  <si>
    <t>2YT14Z52321066</t>
  </si>
  <si>
    <t>THESE ITEMS WOULD BE USED BY THE ORANGE COUNTY SHERIFFS DEPARTMENT. THESE BAGS ARE GIVEN OUT TO PATROL DEPUTIES AS GO BAGS OR GEAR BAGS. THEY HELP STORE HELMETS, GAS MASKS, NON LETHAL GEAR AND OTHER EQUIPMENT THAT IS USED WHEN THE DEPUTIES ARE DEPLOYED INTO THE FIELD.</t>
  </si>
  <si>
    <t>2YT14Z52461896</t>
  </si>
  <si>
    <t>ASSAULT PACK</t>
  </si>
  <si>
    <t>THIS ITEM WOULD BE USED BY THE ORANGE COUNTY SHERIFF'S DEPARTMENT. THESE BAGS COULD BE ISSUED TO OUR PATROL DEPUTIES TO BE USED AS GEAR BAGS, GO BAGS, EMERGENCY RESPONSE BAGS OR STORAGE BAGS FOR NON LETHAL EQUIPMENT. OUR SEARCH AND RESCUE COULD ALSO USE THE BAGS FOR CALL OUTS, TRAINING AND EMERGENCY RESPONSES.</t>
  </si>
  <si>
    <t>2YT14Z52461902</t>
  </si>
  <si>
    <t>2YT14Z52461907</t>
  </si>
  <si>
    <t>2YT14Z52603194</t>
  </si>
  <si>
    <t>POUCH,M4 TWO MAG</t>
  </si>
  <si>
    <t>THESE ITEMS WOULD BE USED BY THE ORANGE COUNTY SHERIFF'S DEPARTMENT. THESE ITEMS COULD BE ISSUED OUT AND USED BY OUR PATROL ASSIGNED DEPUTIES AND INVESTIGATORS THAT ARE ISSUED OUR AR PLATFORM RIFLES. THE POUCHES COULD BE USED ON WAR BAGS OR CASE TO STORE ADDITIONAL MAGAZINES AND AMMO FOR PATROL RIFLES.</t>
  </si>
  <si>
    <t>2YT14Z52461897</t>
  </si>
  <si>
    <t>2YT14Z52603193</t>
  </si>
  <si>
    <t>2YT14Z52340289</t>
  </si>
  <si>
    <t>BAG,WET WEATHER CLO</t>
  </si>
  <si>
    <t>THESE ITEMS WOULD BE USED BY THE ORANGE COUNTY SHERIFF'S DEPARTMENT. THESE ITEMS WOULD BE ISSUED TO OUR HARBOR DIVISION TO HELP SECURE CLOTHING OR ITEMS WHILE THEY ARE OUT ON THE BOAT OR IN INCLEMENT WEATHER. SEARCH AND RESCUE COULD ALSO USE THE ITEMS DURING DEPLOYMENTS OR CALL OUTS.</t>
  </si>
  <si>
    <t>2YT14Z52250286</t>
  </si>
  <si>
    <t>RIFLEMAN SET (W/TAP)</t>
  </si>
  <si>
    <t>THESE ITEMS WOULD BE USED BY THE ORANGE COUNTY SHERIFF'S DEPARTMENT. THESE ITEMS COULD BE ISSUED TO OUR PATROL DEPUTIES AS GEAR BAGS OR GO BAGS. THE BAGS COULD ALSO BE USED BY OUR MUTUAL AID DIVISION FOR LESS LETHAL MUNITIONS AND SYSTEMS SUCH AS PEPPERBALL GUNS.</t>
  </si>
  <si>
    <t>2YT14Z52461899</t>
  </si>
  <si>
    <t>2YT14Z52461900</t>
  </si>
  <si>
    <t>2YT14Z52410884</t>
  </si>
  <si>
    <t>BAG,EQUIPMENT</t>
  </si>
  <si>
    <t>THESE ITEMS WOULD BE USED BY THE ORANGE COUNTY SHERIFF'S DEPARTMENT. THESE BAGS COULD BE USED BY SEVERAL OF OUR DIVISIONS TO HELP CONTAIN, STORE AND DEPLOY EQUIPMENT AND TOOLS USED BY OUR DEPUTIES IN THE FIELD. THIS WOULD INCLUDE OUR MOUNTED DIVISION THAT IS LOOKING FOR LARGE STORAGE BAGS TO PUT IN THEIR HORSE TRAILERS.</t>
  </si>
  <si>
    <t>SACRAMENTO CSO (2YTKJH)</t>
  </si>
  <si>
    <t>2YTKJH51857427</t>
  </si>
  <si>
    <t>AIR CONDITIONER</t>
  </si>
  <si>
    <t>THIS ITEM WILL BE USED BY THE SHERIFF'S OFFICE TO CONTROL THE TEMPERATURE INSIDE A TRAINING FACILITY.</t>
  </si>
  <si>
    <t>2YTKJH51785528</t>
  </si>
  <si>
    <t>PUNCH SET,DRIVE PIN</t>
  </si>
  <si>
    <t>THIS ITEM WILL BE USED BY THE SHERIFF'S OFFICE TO MAINTAIN EQUIPMENT.</t>
  </si>
  <si>
    <t>2YTKJH51785525</t>
  </si>
  <si>
    <t>WRENCH,TORQUE</t>
  </si>
  <si>
    <t>THIS ITEM WILL BE USED BY THE SHERIFF'S OFFICE TO MAINTAIN AND REPAIR EQUIPMENT.</t>
  </si>
  <si>
    <t>2YTKJH52059053</t>
  </si>
  <si>
    <t>I AM A SERGEANT WITH THE SACRAMENTO COUNTY SHERIFF'S OFFICE. I HAVE BEEN TASKED WITH LOCATING EQUIPMENT AND RESOURCES FOR THE SHERIFF'S OFFICE. THE EQUIPMENT- RESOURCES OBTAINED WILL ENHANCE THE SHERIFF OFFICE'S READINESS AND RESPONSE CAPABILITIES.</t>
  </si>
  <si>
    <t>2YTKJH52059052</t>
  </si>
  <si>
    <t>2YTKJH52138694</t>
  </si>
  <si>
    <t>I AM A SERGEANT WITH THE SACRAMENTO COUNTY SHERIFF'S OFFICE. I HAVE BEEN TASKED WITH LOCATING EQUIPMENT AND RESOURCES FOR THE SHERIFF'S OFFICE. THE EQUIPMENT- RESOURCES OBTAINED WILL ENHANCE THE SHERIFF OFFICE'S READINESS AND RESPONSE ABILITIES.</t>
  </si>
  <si>
    <t>2YTKJH52059045</t>
  </si>
  <si>
    <t>TENT</t>
  </si>
  <si>
    <t>I AM A SERGEANT WITH THE SACRAMENTO COUNTY SHERIFF'S OFFICE. I HAVE BEEN TASKED WITH LOCATING EQUIPMENT AND RESOURCES FOR THE SHERIFF'S OFFICE. THE EQUIPMENT- RESOURCES OBTAINED WILL ENHANCE THE SHERIFF OFFICE'S READINESS AND RESPONSE CAPABILITIES REGARDING RURAL OPERATIONS.</t>
  </si>
  <si>
    <t>2YTKJH52059046</t>
  </si>
  <si>
    <t>2YTKJH52059047</t>
  </si>
  <si>
    <t>DSTENT000</t>
  </si>
  <si>
    <t>2YTKJH52138695</t>
  </si>
  <si>
    <t>2YTKJH52059054</t>
  </si>
  <si>
    <t>LINER,WET WEATHER P</t>
  </si>
  <si>
    <t>I AM A SERGEANT WITH THE SACRAMENTO COUNTY SHERIFF'S OFFICE. I HAVE BEEN TASKED WITH LOCATING EQUIPMENT AND RESOURCES FOR THE SHERIFF'S OFFICE. THE EQUIPMENT- RESOURCES OBTAINED WILL ENHANCE THE SHERIFF OFFICE'S READINESS AND INCLEMENT WEATHER RESPONSE CAPABILITIES.</t>
  </si>
  <si>
    <t>2YTKJH52139048</t>
  </si>
  <si>
    <t>2YTKJH52139049</t>
  </si>
  <si>
    <t>LINER,COLD WEATHER</t>
  </si>
  <si>
    <t>2YTKJH52139050</t>
  </si>
  <si>
    <t>TROUSERS,WET WEATHE</t>
  </si>
  <si>
    <t>I AM A SERGEANT WITH THE SACRAMENTO COUNTY SHERIFF'S OFFICE. I HAVE BEEN TASKED WITH LOCATING EQUIPMENT AND RESOURCES FOR THE SHERIFF'S OFFICE. THE EQUIPMENT- RESOURCES OBTAINED WILL ENHANCE THE SHERIFF OFFICE'S READINESS AND FOUL WEATHER RESPONSE CAPABILITIES.</t>
  </si>
  <si>
    <t>2YTKJH52139051</t>
  </si>
  <si>
    <t>PARKA,EXTREME COLD</t>
  </si>
  <si>
    <t>2YTKJH52138709</t>
  </si>
  <si>
    <t>BAG,DUFFEL</t>
  </si>
  <si>
    <t>2YTKJH52138708</t>
  </si>
  <si>
    <t>2YTKJH52138707</t>
  </si>
  <si>
    <t>2YTKJH52138706</t>
  </si>
  <si>
    <t>BAG,EXTREME COLD WE</t>
  </si>
  <si>
    <t>2YTKJH52138705</t>
  </si>
  <si>
    <t>IMPROVED MOLLE MEDIC SET (IMMS)</t>
  </si>
  <si>
    <t>2YTKJH52138704</t>
  </si>
  <si>
    <t>2YTKJH52138702</t>
  </si>
  <si>
    <t>2YTKJH52138701</t>
  </si>
  <si>
    <t>2YTKJH52138700</t>
  </si>
  <si>
    <t>2YTKJH52138699</t>
  </si>
  <si>
    <t>2YTKJH52138698</t>
  </si>
  <si>
    <t>COVER,BIVY</t>
  </si>
  <si>
    <t>2YTKJH52138697</t>
  </si>
  <si>
    <t>2YTKJH52138696</t>
  </si>
  <si>
    <t>2YTKJH51998591</t>
  </si>
  <si>
    <t>2YTKJH52138703</t>
  </si>
  <si>
    <t>BIVY COVER</t>
  </si>
  <si>
    <t>SAN JOAQUIN COUNTY SHERIFF'S OFFICE (2YTK09)</t>
  </si>
  <si>
    <t>2YTK0952139556</t>
  </si>
  <si>
    <t>THE SAN JOAQUIN COUNTY SHERIFFS OFFICE IS IN NEED OF A MOTORIZED CART FOR ITS K9 TEAM TO BE USED FOR LAW ENFORCEMENT PURPOSES AND K9 TRANSPORT 100 PERCENT OF THE TIME. THIS ITEM WOULD BE STORED AND MAINTAINED BY THE SHERIFFS OFFICE ON SITE.</t>
  </si>
  <si>
    <t>2YTK0952139555</t>
  </si>
  <si>
    <t>2YTK0952139557</t>
  </si>
  <si>
    <t>THE SAN JOAQUIN COUNTY SHERIFFS OFFICE IS IN NEED OF A FORKLIFT TO BE USED FOR LAW ENFORCEMENT PUPOSES AND MOVING DANERGOUS DEVICES. THIS ITEM WILL BE USED 100 PERCENT OF THE TIME FOR LEO PURPOSES. THIS ITEM WILL BE RETAINED AND STORED AT THE SHERIFFS OFFICE</t>
  </si>
  <si>
    <t>TEHAMA COUNTY DISTRICT ATTORNEY (2YTLQ8)</t>
  </si>
  <si>
    <t>2YTLQ852068578</t>
  </si>
  <si>
    <t>THE TEHAMA COUNTY DISTRICT ATTORNEY BUREAU OF INVESTIGATIONS WILL USE CLEANING KIT, GUN FOR FIREARMS RANGE TRAINING EQUIPMENT AND ISSUE TO INVESTIGATORS AND RANGE INSTRUCTORS FOR FIREARMS MAINTENANCE.</t>
  </si>
  <si>
    <t>2YTLQ852068525</t>
  </si>
  <si>
    <t>CLEANING KIT, GUN</t>
  </si>
  <si>
    <t>2YTLQ852139059</t>
  </si>
  <si>
    <t>2YTLQ851998290</t>
  </si>
  <si>
    <t>CASE,BARREL,MACHINE</t>
  </si>
  <si>
    <t>THE TEHAMA COUNTY DISTRICT ATTORNEY BUREAU OF INVESTIGATIONS WILL ISSUE CASE,BARREL,MACHINE TO INVESTIGATORS AND INVESTIGATORS ON THE SWAT TEAM TO SECURE WEAPONS IN DUTY VEHICLES.</t>
  </si>
  <si>
    <t>2YTLQ851998289</t>
  </si>
  <si>
    <t>SLING,SMALL ARMS</t>
  </si>
  <si>
    <t>THE TEHAMA COUNTY DISTRICT ATTORNEY BUREAU OF INVESTIGATIONS WILL USE SLING, SMALL ARMS TO OUTFIT ISSUED WEAPONS.</t>
  </si>
  <si>
    <t>2YTLQ851998288</t>
  </si>
  <si>
    <t>DSSWEPASA</t>
  </si>
  <si>
    <t>WEAPON ACCESSORIES DEMIL A</t>
  </si>
  <si>
    <t>THE TEHAMA COUNTY DISTRICT ATTORNEY BUREAU OF INVESTIGATIONS WILL USE WEAPON ACCESSORIES DEMIL A TO OUTFIT ISSUED WEAPONS.</t>
  </si>
  <si>
    <t>2YTLQ851998287</t>
  </si>
  <si>
    <t>2YTLQ852068580</t>
  </si>
  <si>
    <t>2YTLQ851998291</t>
  </si>
  <si>
    <t>BINDER,LOAD</t>
  </si>
  <si>
    <t>THE TEHAMA COUNTY DISTRICT ATTORNEY BUREAU OF INVESTIGATIONS WILL USE BINDER,LOAD WITH EQUIPMENT TRAILERS.</t>
  </si>
  <si>
    <t>2YTLQ852139121</t>
  </si>
  <si>
    <t>THE TEHAMA COUNTY DISTRICT ATTORNEY BUREAU OF INVESTIGATIONS WILL USE CHAIN TO SECURE EQUIPMENT ON  TRAILERS.</t>
  </si>
  <si>
    <t>2YTLQ851998292</t>
  </si>
  <si>
    <t>2YTLQ852139001</t>
  </si>
  <si>
    <t>THE TEHAMA COUNTY DISTRICT ATTORNEY BUREAU OF INVESTIGATIONS WILL USE SPECTACLES, INDUSTRY FOR FIREARMS RANGE TRAINING EQUIPMENT AND ISSUE TO INVESTIGATORS AND SWAT OPERATORS FOR PPE.</t>
  </si>
  <si>
    <t>2YTLQ852139000</t>
  </si>
  <si>
    <t>THE TEHAMA COUNTY DISTRICT ATTORNEY BUREAU OF INVESTIGATIONS WILL USE SPECTACLES, INDUSTRI FOR FIREARMS RANGE TRAINING EQUIPMENT AND ISSUE TO INVESTIGATORS AND SWAT OPERATORS FOR PPE.</t>
  </si>
  <si>
    <t>2YTLQ852068527</t>
  </si>
  <si>
    <t>DSSCREWDR</t>
  </si>
  <si>
    <t>SCREWDRIVER</t>
  </si>
  <si>
    <t>THE TEHAMA COUNTY DISTRICT ATTORNEY BUREAU OF INVESTIGATIONS WILL USE SCREWDRIVER FOR VEHICLE REPAIR AND MAINTENANCE.</t>
  </si>
  <si>
    <t>2YTLQ852068528</t>
  </si>
  <si>
    <t>DSJACKHAN</t>
  </si>
  <si>
    <t>HAND JACK</t>
  </si>
  <si>
    <t>THE TEHAMA COUNTY DISTRICT ATTORNEY BUREAU OF INVESTIGATIONS WILL USE HAND JACK FOR VEHICLE REPAIR AND MAINTENANCE.</t>
  </si>
  <si>
    <t>2YTLQ852068526</t>
  </si>
  <si>
    <t>THE TEHAMA COUNTY DISTRICT ATTORNEY BUREAU OF INVESTIGATIONS WILL USE WRENCH,TORQUE FOR VEHICLE REPAIR AND MAINTENANCE.</t>
  </si>
  <si>
    <t>2YTLQ852068581</t>
  </si>
  <si>
    <t>DSTOOLBAG</t>
  </si>
  <si>
    <t>TOOLBAG</t>
  </si>
  <si>
    <t>THE TEHAMA COUNTY DISTRICT ATTORNEY BUREAU OF INVESTIGATIONS WILL USE TOOLBAG FOR TOOL STORAGE.</t>
  </si>
  <si>
    <t>2YTLQ852139002</t>
  </si>
  <si>
    <t>POUCH,EXPLOSIVE ORDNANCE DISPOSAL TOOLS</t>
  </si>
  <si>
    <t>THE TEHAMA COUNTY DA BUREAU OF INVESTIGATIONS WILL ISSUE POUCH,EXPLOSIVE ORDNANCE DISPOSAL TOOLS TO SWAT OPERATORS.</t>
  </si>
  <si>
    <t>2YTLQ852139003</t>
  </si>
  <si>
    <t>FIRST AID KIT,INDIV</t>
  </si>
  <si>
    <t>THE TEHAMA COUNTY DISTRICT ATTORNEY BUREAU OF INVESTIGATIONS WILL ISSUE FIRST AID KIT, INDIV TO INDIVIDUAL INVESTIGATORS FOR IN FIELD AND ACTIVE SHOOTER MEDICAL AID KITS AND SWAT OPERATORS FOR IFAK.</t>
  </si>
  <si>
    <t>2YTLQ852139129</t>
  </si>
  <si>
    <t>THE TEHAMA COUNTY DISTRICT ATTORNEY BUREAU OF INVESTIGATIONS WILL ISSUE FIRST AID KIT,INDIV TO INDIVIDUAL INVESTIGATORS FOR IN FIELD AND ACTIVE SHOOTER MEDICAL AID KITS AND SWAT OPERATORS FOR IFAK.</t>
  </si>
  <si>
    <t>2YTLQ852068523</t>
  </si>
  <si>
    <t>THE TEHAMA COUNTY DISTRICT ATTORNEY BUREAU OF INVESTIGATIONS WILL USE SHIPPING CASE TO PROTECT AND STORE EQUIPMENT DURING TRANSPORTATION.</t>
  </si>
  <si>
    <t>2YTLQ852139115</t>
  </si>
  <si>
    <t>TENT COMPONENT KIT</t>
  </si>
  <si>
    <t>THE TEHAMA COUNTY DISTRICT ATTORNEY BUREAU OF INVESTIGATIONS WILL USE TENT COMPONENT KIT TO STAKE DOWN TENTS, EZ UPS AND BARRIER LINES FOR CRIME SCENES AND OVERNIGHT MISSIONS.</t>
  </si>
  <si>
    <t>2YTLQ852139105</t>
  </si>
  <si>
    <t>THE TEHAMA COUNTY DISTRICT ATTORNEY BUREAU OF INVESTIGATIONS WILL ISSUE JACKET,COLD WEATHER TO INDIVIDUAL INVESTIGATORS AND SWAT OPERATORS FOR DUTY IN INCLEMENT WEATHER.</t>
  </si>
  <si>
    <t>2YTLQ852139107</t>
  </si>
  <si>
    <t>2YTLQ852139123</t>
  </si>
  <si>
    <t>THE TEHAMA COUNTY DISTRICT ATTORNEY BUREAU OF INVESTIGATIONS WILL ISSUE SHIRT,COLD WEATHER TO INDIVIDUAL INVESTIGATORS AND SWAT OPERATORS FOR DUTY IN INCLEMENT WEATHER.</t>
  </si>
  <si>
    <t>2YTLQ852139111</t>
  </si>
  <si>
    <t>THE TEHAMA COUNTY DISTRICT ATTORNEY BUREAU OF INVESTIGATIONS WILL ISSUE FIELD PACK TO INDIVIDUAL INVESTIGATORS AND INVESTIGATORS ON THE SWAT TEAM FOR GEAR STORAGE AND TRANSPORTATION. INVESTIGATORS CARRY AND STORE TACTICAL GEAR IN THEIR VEHICLES FOR SEARCH WARRANT SERVICES AND OTHER MISSIONS. INVESTIGATORS ON THE SWAT TEAM CARRY GEAR SEPARATE FROM DAILY DUTIES.</t>
  </si>
  <si>
    <t>2YTLQ852139058</t>
  </si>
  <si>
    <t>BELT,INDIVIDUAL EQU</t>
  </si>
  <si>
    <t>THE TEHAMA COUNTY DISTRICT ATTORNEY BUREAU OF INVESTIGATIONS WILL ISSUE BELT,INDIVIDUAL EQU TO INDIVIDUAL INVESTIGATORS AND SWAT OPERATORS AS DUTY GEAR.</t>
  </si>
  <si>
    <t>2YTLQ852139127</t>
  </si>
  <si>
    <t>RIFLEMAN SET</t>
  </si>
  <si>
    <t>THE TEHAMA COUNTY DISTRICT ATTORNEY BUREAU OF INVESTIGATIONS WILL ISSUE RIFLEMAN SET TO SWAT OPERATORS AND OPERATORS ASSIGNED TO THE SNIPER UNIT.</t>
  </si>
  <si>
    <t>2YTLQ852139126</t>
  </si>
  <si>
    <t>THE TEHAMA COUNTY DISTRICT ATTORNEY BUREAU OF INVESTIGATIONS WILL ISSUE MOLLE RUCKSACK SET, MEDIUM - OCP TO INDIVIDUAL INVESTIGATORS AND INVESTIGATORS ON THE SWAT TEAM FOR GEAR STORAGE AND TRANSPORTATION. INVESTIGATORS CARRY AND STORE TACTICAL GEAR IN THEIR VEHICLES FOR SEARCH WARRANT SERVICES AND OTHER MISSIONS. INVESTIGATORS ON THE SWAT TEAM CARRY GEAR SEPARATE FROM DAILY DUTIES.</t>
  </si>
  <si>
    <t>2YTLQ852139125</t>
  </si>
  <si>
    <t>THE TEHAMA COUNTY DISTRICT ATTORNEY BUREAU OF INVESTIGATIONS WILL ISSUE BAG, DUFFEL TO INDIVIDUAL INVESTIGATORS AND INVESTIGATORS ON THE SWAT TEAM FOR ISSUED GEAR STORAGE AND TRANSPORTATION.</t>
  </si>
  <si>
    <t>2YTLQ852139120</t>
  </si>
  <si>
    <t>DSHOLSTER</t>
  </si>
  <si>
    <t>INDIVIDUAL HOLSTER</t>
  </si>
  <si>
    <t>THE TEHAMA COUNTY DISTRICT ATTORNEY BUREAU OF INVESTIGATIONS WILL ISSUE INDIVIDUAL HOLSTER TO INDIVIDUAL INVESTIGATORS AND SWAT OPERATORS AS DUTY GEAR.</t>
  </si>
  <si>
    <t>2YTLQ852139119</t>
  </si>
  <si>
    <t>2YTLQ852139117</t>
  </si>
  <si>
    <t>2YTLQ852139118</t>
  </si>
  <si>
    <t>TEHAMA CSO (2YTLQ7)</t>
  </si>
  <si>
    <t>2YTLQ75197KM12</t>
  </si>
  <si>
    <t>BRUSH, CLEANING, SMALL ARMS</t>
  </si>
  <si>
    <t>2YTLQ75197KM11</t>
  </si>
  <si>
    <t>SWAB, SMALL ARMS CLEANING</t>
  </si>
  <si>
    <t>PG</t>
  </si>
  <si>
    <t>2YTLQ75197KM09</t>
  </si>
  <si>
    <t>2YTLQ752472160</t>
  </si>
  <si>
    <t>SWAGING TOOL KIT,WI</t>
  </si>
  <si>
    <t>THE TEHAMA COUNTY SHERIFF'S OFFICE WILL USE SWAGING TOOL KIT, WIRE ROPE, AS TOOLS FOR DEPUTIES TO MAKE REPAIRS AND REPLACEMENTS FOR WIRE ROPE USED ON DEPARTMENT WINCHES ATTACHED TO VEHICLES, USED FOR RESCUES AND VEHICLE RECOVERY.</t>
  </si>
  <si>
    <t>2YTLQ752481345</t>
  </si>
  <si>
    <t>SPRAYER AND DUSTER,</t>
  </si>
  <si>
    <t>THE TEHAMA COUNTY SHERIFF'S OFFICE WILL USE SPRAYER AND DUSTER, IN OUR MAJOR CRIMES UNIT TO ASSIST WITH ILLEGAL MARIJUANA ERADICATION.  IT WILL ALSO BE USED AT THE SHERIFF'S FARM FOR WEED AND PEST CONTROL.</t>
  </si>
  <si>
    <t>2YTLQ752552024</t>
  </si>
  <si>
    <t>THE TEHAMA COUNTY SHERIFF'S OFFICE WILL USE FORKLIFT AT THE SHERIFF'S MAIN OFFICE TO LOAD AND UNLOAD DEPUTY EQUIPMENT AND SUPPLIES, SWAT GEAR AND DISASTER RESPONSE PALLETS.</t>
  </si>
  <si>
    <t>2YTLQ751927767</t>
  </si>
  <si>
    <t>THE TEHAMA COUNTY SHERIFF'S OFFICE WILL USE FORKLIFT TO ASSIST IN MOVING LARGE ITEMS WITHIN SHERIFF'S FACILITIES.</t>
  </si>
  <si>
    <t>2YTLQ752411097</t>
  </si>
  <si>
    <t>JUG,INSULATED,WATER,5 GAL,BLUE</t>
  </si>
  <si>
    <t>THE TEHAMA COUNTY SHERIFF'S OFFICE WILL USE JUG, INSULATED, WATER, 5 GAL, BLUE TO SUPPLY DEPUTIES WITH WATER DURING TRAINING EVENTS, AT THE RANGE AND DURING RURAL OPERATIONS.</t>
  </si>
  <si>
    <t>2YTLQ752481358</t>
  </si>
  <si>
    <t>LOCK REMOVAL DEVICE</t>
  </si>
  <si>
    <t>THE TEHAMA COUNTY SHERIFF'S OFFICE WILL USE THE 	LOCK REMOVAL DEVICE  IN OUR SWAT, PATROL AND SEARCH AND RESCUE UNIT.  THE ITEM WILL BE USED DURING LAW ENFORCEMENT AND RESCUE MISSIONS.</t>
  </si>
  <si>
    <t>2YTLQ751927628</t>
  </si>
  <si>
    <t>THE TEHAMA COUNTY SHERIFF'S OFFICE WILL USE SPECTACLES, INDUSTRIAL AS ISSUED SAFETY EQUIPMENT TO DEPUTIES FOR RANGE TRAINING AND EYE SAFETY WHEN WORKING AROUND HELICOPTERS DURING DRUG INTERDICTION AND RESCUE OPERATIONS.</t>
  </si>
  <si>
    <t>2YTLQ752209931</t>
  </si>
  <si>
    <t>DSSAFERES</t>
  </si>
  <si>
    <t>SAFETY AND RESCUE EQUIPMENT</t>
  </si>
  <si>
    <t>THE TEHAMA COUNTY SHERIFF'S OFFICE WILL USE SAFETY AND RESCUE EQUIPMENT AS DEPUTY GEAR FOR RESCUE OPERATIONS.</t>
  </si>
  <si>
    <t>2YTLQ751847806</t>
  </si>
  <si>
    <t>THE TEHAMA COUNTY SHERIFF'S OFFICE WILL USE GOGGLES, INDUSTRIAL TO REPLACE DEPUTY PPE IN THE SHORT HAUL AND HELICOPTER SAFETY GEAR BAGS USED DURING DRUG INTERDICTION AND RESCUES.</t>
  </si>
  <si>
    <t>2YTLQ752481468</t>
  </si>
  <si>
    <t>SPAX</t>
  </si>
  <si>
    <t>THE TEHAMA COUNTY SHERIFF'S OFFICE WILL USE SPAX AS ISSUED EQUIPMENT TO DEPUTIES FOR DOOR AND VEHICLE BREACHING, SHUTTING OFF WATER DURING EMERGENCIES AND VEHICLE TIRE BREACHING WHEN THERE IS A NEED TO PREVENT A CAR FROM DRIVING AWAY.</t>
  </si>
  <si>
    <t>2YTLQ751786956</t>
  </si>
  <si>
    <t>THE TEHAMA COUNTY SHERIFF'S OFFICE WILL USE THE STRAP CUTTER,RESCUE IN OUR SEARCH AND RESCUE UNIT.  THE ITEM WILL BE USED DURING LAW ENFORCEMENT AND RESCUE MISSIONS.</t>
  </si>
  <si>
    <t>2YTLQ752209934</t>
  </si>
  <si>
    <t>PUMP,INFLATING,MANUAL</t>
  </si>
  <si>
    <t>THE TEHAMA COUNTY SHERIFF'S OFFICE WILL USE PUMP, INFLATING, MANUAL AS A BACK UP PUMP TO INFLATE THE DECON TENTS IN THE CASE OF POWER OUTAGE OR NO GENERATOR AVAILABLE AT THE DECONTAMINATION SITE.</t>
  </si>
  <si>
    <t>2YTLQ752613560</t>
  </si>
  <si>
    <t>TUBE,METALLIC</t>
  </si>
  <si>
    <t>FT</t>
  </si>
  <si>
    <t>THE TEHAMA COUNTY SHERIFF'S OFFICE WILL USE TUBE, METALLIC PIPE TO BUILD FENCES AROUND SHERIFF'S OFFICE BUILDINGS AND PROPERTIES TO SECURE THE LOCATIONS FOR DEPUTY SAFETY AND TO PREVENT THEFT.</t>
  </si>
  <si>
    <t>2YTLQ75197KM10</t>
  </si>
  <si>
    <t>OILER,HAND</t>
  </si>
  <si>
    <t>2YTLQ752552037</t>
  </si>
  <si>
    <t>CLEANING GUN,WATER</t>
  </si>
  <si>
    <t>THE TEHAMA COUNTY SHERIFF'S OFFICE WILL USE CLEANING GUN, WATER FOR DEPUTIES TO CLEAN DEPARTMENT VEHICLES, PATROL BOATS AND SWAT VEHICLES.</t>
  </si>
  <si>
    <t>2YTLQ751787016</t>
  </si>
  <si>
    <t>DSHANDTNP</t>
  </si>
  <si>
    <t>HAND TOOLS, EDGED, NONPOWERED</t>
  </si>
  <si>
    <t>THE TEHAMA COUNTY SHERIFF'S OFFICE WILL USE HAND TOOLS, EDGED, NONPOWERED AS TOOLS TO FIX AND MAINTAIN PATROL UNITS AT THE SHERIFF'S AUTO SHOP AND PATROL BOATS AT THE BOATING STORAGE FACILITY.  THE SHERIFF'S OFFICE IS PUTTING TOGETHER TOOL KITS FOR EACH PATROL VEHICLE, EMERGENCY RESPONSE VEHICLE AND INVESTIGATIVE UNIT FOR ROADSIDE USE AND EVIDENCE COLLECTION.</t>
  </si>
  <si>
    <t>2YTLQ752623236</t>
  </si>
  <si>
    <t>DSWRENCH0</t>
  </si>
  <si>
    <t>WRENCH</t>
  </si>
  <si>
    <t>THE TEHAMA COUNTY SHERIFF'S OFFICE WILL USE WRENCH, AS TOOLS TO FIX AND MAINTAIN PATROL UNITS AT THE SHERIFF'S AUTO SHOP AND PATROL BOATS AT THE BOATING STORAGE FACILITY.  THE SHERIFF'S OFFICE IS PUTTING TOGETHER TOOL KITS FOR EACH PATROL VEHICLE, EMERGENCY RESPONSE VEHICLE AND INVESTIGATIVE UNIT FOR ROADSIDE USE AND EVIDENCE COLLECTION.</t>
  </si>
  <si>
    <t>2YTLQ752623237</t>
  </si>
  <si>
    <t>2YTLQ752472162</t>
  </si>
  <si>
    <t xml:space="preserve">THE TEHAMA COUNTY SHERIFF'S OFFICE WILL USE WRENCH,TORQUE AS TOOLS TO FIX AND MAINTAIN PATROL UNITS AT THE SHERIFF'S AUTO SHOP AND PATROL BOATS AT THE BOATING STORAGE FACILITY.  THE KIT WILL ALSO BE USED TO FIX, REPAIR AND MAINTAIN SHERIFF'S FACILITIES.
</t>
  </si>
  <si>
    <t>2YTLQ752481353</t>
  </si>
  <si>
    <t>DSHAMMER0</t>
  </si>
  <si>
    <t>HAMMER, NON-POWERED</t>
  </si>
  <si>
    <t>THE TEHAMA COUNTY SHERIFF'S OFFICE WILL USE HAMMER, NON-POWERED AS TOOLS TO FIX, MAINTAIN, REPAIR SHERIFF'S FACILITIES.</t>
  </si>
  <si>
    <t>2YTLQ751786836</t>
  </si>
  <si>
    <t>COMBINATION TOOL,HAND</t>
  </si>
  <si>
    <t>THE TEHAMA COUNTY SHERIFF'S OFFICE WILL USE COMBINATION TOOL, HAND AS TOOLS FOR DEPUTY USE TO MAKE ENTRY INTO LOCATIONS DURING SEARCH WARRANT SERVICES AND DURING FIRE SEASON TO ASSIST IN CLEARING EVACUATION ROUTES DURING EMERGENCY EVACUATIONS.</t>
  </si>
  <si>
    <t>2YTLQ752623234</t>
  </si>
  <si>
    <t>THE TEHAMA COUNTY SHERIFF'S OFFICE WILL USE SCREWDRIVER AS TOOLS TO FIX AND MAINTAIN PATROL UNITS AT THE SHERIFF'S AUTO SHOP AND PATROL BOATS AT THE BOATING STORAGE FACILITY.  THE SHERIFF'S OFFICE IS PUTTING TOGETHER TOOL KITS FOR EACH PATROL VEHICLE, EMERGENCY RESPONSE VEHICLE AND INVESTIGATIVE UNIT FOR ROADSIDE USE AND EVIDENCE COLLECTION.</t>
  </si>
  <si>
    <t>2YTLQ752279927</t>
  </si>
  <si>
    <t>SCREWDRIVER SET,JEWELER'S,SWIVEL KNOB</t>
  </si>
  <si>
    <t>THE TEHAMA COUNTY SHERIFF'S OFFICE WILL USE SCREWDRIVER SET, JEWELER'S SWIVEL FOR DEPUTIES TO MAKE MINOR REPAIRS ON DEPARTMENT OPTICS AND FIREARMS.</t>
  </si>
  <si>
    <t>2YTLQ752623232</t>
  </si>
  <si>
    <t>2YTLQ752623233</t>
  </si>
  <si>
    <t>2YTLQ752411371</t>
  </si>
  <si>
    <t>DSPLIERS0</t>
  </si>
  <si>
    <t>PLIERS</t>
  </si>
  <si>
    <t>THE TEHAMA COUNTY SHERIFF'S OFFICE WILL USE PLIERS AS TOOLS TO FIX AND MAINTAIN PATROL UNITS AT THE SHERIFF'S AUTO SHOP AND PATROL BOATS AT THE BOATING STORAGE FACILITY.  THE SHERIFF'S OFFICE IS PUTTING TOGETHER TOOL KITS FOR EACH PATROL VEHICLE, EMERGENCY RESPONSE VEHICLE AND INVESTIGATIVE UNIT FOR ROADSIDE USE AND EVIDENCE COLLECTION.</t>
  </si>
  <si>
    <t>2YTLQ751786835</t>
  </si>
  <si>
    <t>MATTOCK</t>
  </si>
  <si>
    <t>THE TEHAMA COUNTY SHERIFF'S OFFICE WILL USE MATTOCK AS TOOLS FOR DEPUTY USE TO MAKE ENTRY INTO LOCATIONS DURING SEARCH WARRANT SERVICES AND DURING FIRE SEASON TO ASSIST IN CLEARING EVACUATION ROUTES DURING EMERGENCY EVACUATIONS.</t>
  </si>
  <si>
    <t>2YTLQ752209932</t>
  </si>
  <si>
    <t>DRILL,ELECTRIC,PORTABLE</t>
  </si>
  <si>
    <t>THE TEHAMA COUNTY SHERIFF'S OFFICE WILL USE DRILL, ELECTRIC, PORTABLE AS TOOLS FOR DEPUTY USE AT THE DIFFERENT SHERIFF'S OFFICE FACILITIES TO MAINTAIN DEPARTMENT EQUIPMENT, MAKE REPAIRS AT THE RANGE AND MAKE IMPROVEMENTS.</t>
  </si>
  <si>
    <t>2YTLQ752481336</t>
  </si>
  <si>
    <t>WRENCH SET,SOCKET</t>
  </si>
  <si>
    <t>THE TEHAMA COUNTY SHERIFF'S OFFICE WILL USE WRENCH SET,SOCKET AS TOOLS TO FIX AND MAINTAIN PATROL UNITS AT THE SHERIFF'S AUTO SHOP AND PATROL BOATS AT THE BOATING STORAGE FACILITY.  THE SHERIFF'S OFFICE IS PUTTING TOGETHER TOOL KITS FOR EACH PATROL VEHICLE, EMERGENCY RESPONSE VEHICLE AND INVESTIGATIVE UNIT FOR ROADSIDE USE AND EVIDENCE COLLECTION.</t>
  </si>
  <si>
    <t>2YTLQ752209498</t>
  </si>
  <si>
    <t>THE TEHAMA COUNTY SHERIFF'S OFFICE WILL USE WRENCH SET, SOCKET, IMPACTS AS TOOLS FOR BOATING DEPUTIES TO WORK ON AND REPAIR EMERGENCY RESPONSE PATROL BOATS AND TRAILERS.</t>
  </si>
  <si>
    <t>2YTLQ751787014</t>
  </si>
  <si>
    <t>CHEST,TOOL KIT</t>
  </si>
  <si>
    <t>THE TEHAMA COUNTY SHERIFF'S OFFICE WILL USE CHEST,TOOL KIT AS TOOLS TO FIX AND MAINTAIN PATROL UNITS AT THE SHERIFF'S AUTO SHOP AND PATROL BOATS AT THE BOATING STORAGE FACILITY.  THE KIT WILL ALSO BE USED TO FIX, REPAIR AND MAINTAIN SHERIFF'S FACILITIES.</t>
  </si>
  <si>
    <t>2YTLQ752411103</t>
  </si>
  <si>
    <t>CUTTER AND FLARING TOOL KIT,TUBE,HAND</t>
  </si>
  <si>
    <t>THE TEHAMA COUNTY SHERIFF'S OFFICE WILL USE CUTTER AND FLARING TOOL KIT, TUBE, HAND FOR DEPUTY USE MAKING REPAIRS ON DEPARTMENT VEHICLES AND TRAILERS USED TO TOW EMERGENCY RESPONSE VEHICLES.</t>
  </si>
  <si>
    <t>2YTLQ751787015</t>
  </si>
  <si>
    <t>TOOL KIT,ARTILLERY</t>
  </si>
  <si>
    <t>THE TEHAMA COUNTY SHERIFF'S OFFICE WILL USE TOOL KIT,ARTILLERY AS TOOLS TO FIX AND MAINTAIN DEPARTMENT FIREARMS AND FIREARM EQUIPMENT.</t>
  </si>
  <si>
    <t>2YTLQ752279853</t>
  </si>
  <si>
    <t>DSTOOLKIT</t>
  </si>
  <si>
    <t>SETS, KITS, AND OUTFITS OF HAND TOOLS</t>
  </si>
  <si>
    <t>THE TEHAMA COUNTY SHERIFF'S OFFICE WILL USE SETS, KITS AND OUTFITS OF HAND TOOLS TO OUTFIT THE MRAP RESCUE VEHICLE AND THE BEARCAT ARMORED RESCUE VEHICLE FOR THE SWAT TEAM AND DEPUTY USE DURING ACTIVE SHOOTER OR HOSTAGE RESCUE EVENTS.</t>
  </si>
  <si>
    <t>2YTLQ751998164</t>
  </si>
  <si>
    <t>SNAP HOOK</t>
  </si>
  <si>
    <t>THE TEHAMA COUNTY SHERIFF'S OFFICE WILL USE SNAP HOOK IN OUR RECORDS, JAIL BOOKING, PATROL AND EMERGENCY OPERATION CENTER FOR EMPLOYEE USE DURING DAILY OPERATIONS.</t>
  </si>
  <si>
    <t>2YTLQ752129576</t>
  </si>
  <si>
    <t>PADLOCK</t>
  </si>
  <si>
    <t>THE TEHAMA COUNTY SHERIFF'S OFFICE WILL USE PADLOCK TO SECURE SHERIFF'S DEPARTMENT GATES, CHAINS AND EQUIPMENT.</t>
  </si>
  <si>
    <t>2YTLQ752472158</t>
  </si>
  <si>
    <t>TORQUE WRENCH,MICRO</t>
  </si>
  <si>
    <t>THE TEHAMA COUNTY SHERIFF'S OFFICE WILL USE TORQUE WRENCH,MICRO AS TOOLS TO FIX AND MAINTAIN PATROL UNITS AT THE SHERIFF'S AUTO SHOP AND PATROL BOATS AT THE BOATING STORAGE FACILITY.  THE KIT WILL ALSO BE USED TO FIX, REPAIR AND MAINTAIN SHERIFF'S FACILITIES.</t>
  </si>
  <si>
    <t>2YTLQ752411068</t>
  </si>
  <si>
    <t>PAPER,ABRASIVE</t>
  </si>
  <si>
    <t>THE TEHAMA COUNTY SHERIFF'S OFFICE WILL USE PAPER, ABRASIVE SAND PAPER FOR DEPUTIES TO REMOVE RUST FROM DEPARTMENT EQUIPMENT AND TO SMOOTH OUT JAGGED EDGES OF RANGE EQUIPMENT AND TARGETS.</t>
  </si>
  <si>
    <t>2YTLQ752542685</t>
  </si>
  <si>
    <t>DSSOLPWRS</t>
  </si>
  <si>
    <t>SOLAR ELECTRIC POWER SYSTEMS</t>
  </si>
  <si>
    <t>THE TEHAMA COUNTY SHERIFF'S OFFICE WILL USE SOLAR ELECTRIC POWER SYSTEMS, SOLAR PANELS, AS EQUIPMENT ON SHERIFF'S OFFICE BUILDINGS TO PRODUCE POWER TO LOWER THE PG AND E COSTS IN RUNNING THE FACILITIES AND PROVIDE CLEAN ELECTRICITY FOR DEPUTY USE.</t>
  </si>
  <si>
    <t>2YTLQ752270503</t>
  </si>
  <si>
    <t>THE TEHAMA COUNTY SHERIFF'S OFFICE WILL USE SOLAR ELECTRIC POWER SYSTEMS TO POWER SHERIFF'S OFFICE BUILDINGS DURING THE DAY AND DURING EMERGENCY OPERATIONS WHEN THE POWER GRID IS DOWN.</t>
  </si>
  <si>
    <t>2YTLQ751998160</t>
  </si>
  <si>
    <t>POWER STRIP,ELECTRICAL OUTLET</t>
  </si>
  <si>
    <t>THE TEHAMA COUNTY SHERIFF'S OFFICE WILL USE POWER STRIP,ELECTRICAL OUTLETIN OUR RECORDS, JAIL BOOKING, PATROL AND EMERGENCY OPERATION CENTER FOR EMPLOYEE USE DURING DAILY OPERATIONS.</t>
  </si>
  <si>
    <t>2YTLQ752411098</t>
  </si>
  <si>
    <t>LIGHT,MTD HELMET EP</t>
  </si>
  <si>
    <t>THE TEHAMA COUNTY SHERIFF'S OFFICE WILL USE LIGHT, MTD HELMET EP AS DUTY GEAR FOR SWAT TEAM MEMBERS.</t>
  </si>
  <si>
    <t>2YTLQ752209488</t>
  </si>
  <si>
    <t>THE TEHAMA COUNTY SHERIFF'S OFFICE WILL USE LIGHT, CHEMILUMINESCENT AS ISSUED EQUIPMENT TO DEPUTIES TO MARK DANGER ZONES AND AREAS SUCH AS IMPROVISED EXPLOSIVE SPOTS, TRAIL MARKERS OR AS LIGHT SOURCES DURING DISASTER RESPONSE AND SHELTERING OPERATIONS.</t>
  </si>
  <si>
    <t>2YTLQ751847808</t>
  </si>
  <si>
    <t>STETHOSCOPE</t>
  </si>
  <si>
    <t>THE TEHAMA COUNTY SHERIFF'S OFFICE WILL USE STETHOSCOPE AS ISSUED MEDICAL SUPPLIES FOR SWAT MEDICS AND EMTS ASSIGNED TO CARE FOR INJURED DEPUTIES DURING OPERATIONS.</t>
  </si>
  <si>
    <t>2YTLQ751847805</t>
  </si>
  <si>
    <t>SCISSORS,BANDAGE,ANGULAR,SIZE 2</t>
  </si>
  <si>
    <t>THE TEHAMA COUNTY SHERIFF'S OFFICE WILL USE SCISSORS, BANDAGE, ANGULAR, SIZE 2 TO FILL DEPUTY IFAK AND FIRST AID KITS FOR EMERGENCY WOUND TREATMENT IN THE FIELD, TO CUT SEAT BELTS DURING VEHICLE EXTRICATION AND TRIMMING BANDAGES PRIOR TO HOSPITAL CARE.</t>
  </si>
  <si>
    <t>2YTLQ752411458</t>
  </si>
  <si>
    <t>DSMEDSUPB</t>
  </si>
  <si>
    <t>MEDICAL SUPPLIES</t>
  </si>
  <si>
    <t>THE TEHAMA COUNTY SHERIFF'S OFFICE WILL USE MEDICAL SUPPLIES, GLOVES, AS PPE FOR DEPUTY USE IN THE FIELD FOR EVIDENCE COLLECTION AND SAFETY SEARCHES OF SUSPECT, MEDICAL CALLS AND GENERAL SAFETY PRACTICES.</t>
  </si>
  <si>
    <t>2YTLQ751988569</t>
  </si>
  <si>
    <t>INSTRUMENT SET,USMC</t>
  </si>
  <si>
    <t>THE TEHAMA COUNTY SHERIFF'S OFFICE WILL USE INSTRUMENT SET, USMC AS EVIDENCE COLLECTION TOOLS FOR DNA, BULLET FRAGMENT OR OTHER EVIDENCE ITEMS FROM BODIES OR OTHER DELICATE MATERIALS.</t>
  </si>
  <si>
    <t>2YTLQ751847807</t>
  </si>
  <si>
    <t>THE TEHAMA COUNTY SHERIFF'S OFFICE WILL USE INSTRUMENT SET, USMC FOR DEPUTY USE DURING EVIDENCE COLLECTION, MEDICAL INSTRUMENTS ARE IDEAL FOR COLLECTING EVIDENCE FROM BODIES AND OTHER DIFFICULT TO REACH OR REMOVE DNA OR MICRO EVIDENCE.</t>
  </si>
  <si>
    <t>2YTLQ751928157</t>
  </si>
  <si>
    <t>THE TEHAMA COUNTY SHERIFF'S OFFICE WILL USE KEYBOARD AS EQUIPMENT FOR DEPUTY USE WHEN SENT TO DEPARTMENT TRAININGS REQUIRING A COMPUTER SO THE DEPUTY CAN HAVE A MORE ERGONOMIC KEYBOARD FOR COURSE WORK OTHER THAN THE KEYBOARD ON THE LAPTOP COMPUTERS.</t>
  </si>
  <si>
    <t>2YTLQ751837664</t>
  </si>
  <si>
    <t>STOOL,FOLDING</t>
  </si>
  <si>
    <t>THE TEHAMA COUNTY SHERIFF'S OFFICE WILL USE STOOL, FOLDING IN THE DEPARTMENT COMMAND VAN TO PROVIDE SEATING DURING LARGE SCALE BRIEFINGS.</t>
  </si>
  <si>
    <t>2YTLQ752552644</t>
  </si>
  <si>
    <t>DSCARPET0</t>
  </si>
  <si>
    <t>CARPETING</t>
  </si>
  <si>
    <t>THE TEHAMA COUNTY SHERIFF'S OFFICE WILL USE CARPETING TO REPLACE WORN CARPET IN THE DEPUTY WORK AREAS OF THE SHERIFF'S OFFICE.</t>
  </si>
  <si>
    <t>2YTLQ752623395</t>
  </si>
  <si>
    <t>PAIL,UTILITY</t>
  </si>
  <si>
    <t>THE TEHAMA COUNTY SHERIFF'S OFFICE WILL USE PAIL, UTILITY AS GEAR FOR DEPUTIES AND DEPUTY CORONERS TO COLLECT BODY PARTS AT CRIME SCENES AND TO STORE EVIDENCE ITEMS SAFELY.</t>
  </si>
  <si>
    <t>2YTLQ752331236</t>
  </si>
  <si>
    <t>DSOFFDEVI</t>
  </si>
  <si>
    <t>OFFICE DEVICES AND ACCESSORIES</t>
  </si>
  <si>
    <t>THE TEHAMA COUNTY SHERIFF'S OFFICE WILL USE OFFICE DEVICES AND ACCESSORIES, TAPE WILL BE USED BY DEPUTIES FOR BINDING WIRES AND EVIDENCE ITEMS TOGETHER AS NEEDED FOR STORAGE.</t>
  </si>
  <si>
    <t>2YTLQ751998163</t>
  </si>
  <si>
    <t>THE TEHAMA COUNTY SHERIFF'S OFFICE WILL USE OFFICE DEVICES AND ACCESSORIES IN OUR RECORDS, JAIL BOOKING, PATROL AND EMERGENCY OPERATION CENTER FOR EMPLOYEE USE DURING DAILY OPERATIONS.</t>
  </si>
  <si>
    <t>2YTLQ752209493</t>
  </si>
  <si>
    <t>BELT,WEIGHT LIFTING</t>
  </si>
  <si>
    <t>THE TEHAMA COUNTY SHERIFF'S OFFICE WILL USE BELT, WEIGHT LIFTING IN THE DEPARTMENT SPONSORED GYM AVAILABLE FOR DEPUTY USE TO STAY IN SHAPE.</t>
  </si>
  <si>
    <t>2YTLQ752481338</t>
  </si>
  <si>
    <t>DSBROOMBR</t>
  </si>
  <si>
    <t>BROOMS, BRUSHES, MOPS, SPONGES</t>
  </si>
  <si>
    <t>THE TEHAMA COUNTY SHERIFF'S OFFICE WILL USE BROOMS, BRUSHES, MOPS, SPONGES IN OUR RECORDS, JAIL BOOKING, PATROL AND EMERGENCY OPERATION CENTER FOR EMPLOYEE USE FOR SANITIZING AND CLEANING THE WORK AREA DURING DAILY OPERATIONS.</t>
  </si>
  <si>
    <t>2YTLQ752340344</t>
  </si>
  <si>
    <t>CLOTH,DUCK</t>
  </si>
  <si>
    <t>YD</t>
  </si>
  <si>
    <t>THE TEHAMA COUNTY SHERIFF'S OFFICE WILL USE CLOTH, DUCK TO MAKE REPAIRS TO THE MILITARY TENTS USED FOR SHERIFF'S OFFICE REMOTE COMMAND POSTS AND SHELTERING OPERATIONS.</t>
  </si>
  <si>
    <t>2YTLQ752139015</t>
  </si>
  <si>
    <t>THE TEHAMA COUNTY SHERIFF'S OFFICE WILL USE TENT AS TEMPORARY WORK STATIONS AND SHELTERS FOR DEPUTIES WORKING REMOTE DRUG INTERDICTION, RURAL EXTENDED SEARCH AND RESCUE MISSIONS, DISASTER SHELTER OPERATIONS AND TO COVER SHERIFF'S OFFICE EQUIPMENT AND SUPPLIES.</t>
  </si>
  <si>
    <t>2YTLQ752340346</t>
  </si>
  <si>
    <t>PIN,TENT, 12" RED</t>
  </si>
  <si>
    <t>THE TEHAMA COUNTY SHERIFF'S OFFICE WILL USE PIN, TENT, 12 INCH RED AS SECURITY STAKES FOR RURAL COMMAND POST TENTS AND SHELTERING TENTS USED BY DEPUTY SHERIFF'S IN RURAL OPERATIONS.</t>
  </si>
  <si>
    <t>2YTLQ752139499</t>
  </si>
  <si>
    <t>REPAIR KIT,TENTAGE, BASE-X</t>
  </si>
  <si>
    <t>THE TEHAMA COUNTY SHERIFF'S OFFICE WILL USE REPAIR KIT, TENTAGE, BASE-X TO MAKE SIMPLE REPAIRS TO THE TENTS IN THE SHERIFF'S OFFICE POSSESSION USED FOR BASE CAMP OPERATIONS AND SHELTERING DURING DISASTERS.</t>
  </si>
  <si>
    <t>2YTLQ752190042</t>
  </si>
  <si>
    <t>TENT MODULAR COMMAND POST,GREEN,COMPLETE</t>
  </si>
  <si>
    <t>THE TEHAMA COUNTY SHERIFF'S OFFICE WILL USE TENT, MODULAR COMMAND POST, GREEN, COMPLETE AS AN OFF SITE ICP DURING DISASTERS AND EXTENDED SEARCH AND RESCUE MISSIONS.</t>
  </si>
  <si>
    <t>2YTLQ752209490</t>
  </si>
  <si>
    <t>DSFLAGPOL</t>
  </si>
  <si>
    <t>FLAGPOLE</t>
  </si>
  <si>
    <t>THE TEHAMA COUNTY SHERIFF'S OFFICE WILL USE FLAGPOLE TO DISPLAY THE AMERICAN FLAG IN THE DEPARTMENT TRAINING ROOM, IN THE AREA USED TO SWEAR NEW SHERIFF'S DEPUTIES INTO SERVICE.</t>
  </si>
  <si>
    <t>2YTLQ752190048</t>
  </si>
  <si>
    <t>THE TEHAMA COUNTY SHERIFF'S OFFICE WILL USE TROUSERS, WET WEATHER AS ISSUED EQUIPMENT TO DEPUTIES FOR USE DURING SPECIAL OPERATIONS IN RURAL AREAS OF THE COUNTY DURING INCLEMENT WEATHER EVENTS.</t>
  </si>
  <si>
    <t>2YTLQ751928156</t>
  </si>
  <si>
    <t>COVERALLS,DISPOSABL</t>
  </si>
  <si>
    <t>CS</t>
  </si>
  <si>
    <t>THE TEHAMA COUNTY SHERIFF'S OFFICE WILL USE COVERALLS, DISPOSABLE FOR DEPUTY AND DEPUTY CORONER USE DURING DISASTER BODY RECOVERY AND REMAINS SEARCHES TO PROVIDE PPE TO THE DEPUTY FROM CONTAMINANTS, USUALLY FROM BURN SCENES.</t>
  </si>
  <si>
    <t>2YTLQ751928070</t>
  </si>
  <si>
    <t>THE TEHAMA COUNTY SHERIFF'S OFFICE WILL USE SHIRT, COLD WEATHER AS ISSUED EQUIPMENT FOR DEPUTIES TO USE DURING COLD WEATHER PATROLS, SEARCH AND RESCUES AND TRAINING.</t>
  </si>
  <si>
    <t>2YTLQ751928155</t>
  </si>
  <si>
    <t>2YTLQ752472161</t>
  </si>
  <si>
    <t>MITTEN,HEAT PROTECT</t>
  </si>
  <si>
    <t>THE TEHAMA COUNTY SHERIFF'S OFFICE WILL USE MITTEN, HEAT PROTECTION AS PPE FOR DEPUTIES WORKING ON OR AROUND HOT MOTORS AND EQUIPMENT DURING REPAIRS OR MAINTENANCE.</t>
  </si>
  <si>
    <t>2YTLQ752129581</t>
  </si>
  <si>
    <t>THE TEHAMA COUNTY SHERIFF'S OFFICE WILL USE SHIRT, COLD WEATHER AS ISSUED EQUIPMENT FOR DEPUTY USE DURING BAD WEATHER CALLS FOR SERVICE AND SEARCH AND RESCUE OPERATIONS.</t>
  </si>
  <si>
    <t>2YTLQ751998072</t>
  </si>
  <si>
    <t>GHILLIE SUIT,COAT</t>
  </si>
  <si>
    <t>THE TEHAMA COUNTY SHERIFF'S OFFICE WILL USE GHILLIE SUIT, COAT AS ISSUED EQUIPMENT TO SWAT SNIPER TEAM MEMBERS FOR USE DURING TRAINING AND REAL WORLD POLICE MISSIONS AND RURAL DRUG INTERDICTION OPERATIONS.</t>
  </si>
  <si>
    <t>2YTLQ751998065</t>
  </si>
  <si>
    <t>GHILLIE SUIT,TROUSE</t>
  </si>
  <si>
    <t>THE TEHAMA COUNTY SHERIFF'S OFFICE WILL USE GHILLIE SUIT, TROUSER AS ISSUED EQUIPMENT TO SWAT SNIPER TEAM MEMBERS FOR USE DURING TRAINING AND REAL WORLD POLICE MISSIONS AND RURAL DRUG INTERDICTION OPERATIONS.</t>
  </si>
  <si>
    <t>2YTLQ751786823</t>
  </si>
  <si>
    <t>GAITER,NECK</t>
  </si>
  <si>
    <t>THE TEHAMA COUNTY SHERIFF'S OFFICE WILL USE GAITER, NECK AS ISSUED EQUIPMENT FOR DEPUTY USE DURING COLD WEATHER, DUST STORMS OR IN SMOKE ENVIRONMENTS TO PROVIDE FIRST LEVEL OF INHALATION PROTECTION.</t>
  </si>
  <si>
    <t>2YTLQ752623393</t>
  </si>
  <si>
    <t>THE TEHAMA COUNTY SHERIFF'S OFFICE WILL USE MAT, SLEEPING, SELF INFLATING AS ISSUED EQUIPMENT TO DEPUTIES ASSIGNED EXTENDED SEARCH AND RESCUE MISSIONS OR LAW ENFORCEMENT MUTUAL AID WHERE STANDARD SLEEPING ARRANGEMENTS ARE NOT AVAILABLE.</t>
  </si>
  <si>
    <t>2YTLQ752190045</t>
  </si>
  <si>
    <t>THE TEHAMA COUNTY SHERIFF'S OFFICE WILL USE RIFLEMAN SET AS ISSUED EQUIPMENT FOR DEPUTY USE IN THE FIELD FOR DRUG INTERDICTION IN RURAL LANDS.</t>
  </si>
  <si>
    <t>2YTLQ752401683</t>
  </si>
  <si>
    <t>RUBBER SHEET,CELLUL</t>
  </si>
  <si>
    <t>SH</t>
  </si>
  <si>
    <t>THE TEHAMA COUNTY SHERIFF'S OFFICE WILL USE RUBBER SHEET, CELLUL AS GROUND COVER IN REMOTE COMMAND POST TENTS, DISASTER SHELTERS AND DEPUTY SLEEPING AREAS ON REMOTE SEARCH AND RESCUE MISSIONS WHERE REGULAR HOUSING IS NOT AVAILABLE.  RUBBER WILL BE USED IN DEPUTY WORK STATIONS TO PAD THE GROUND FOR CONTINUED STANDING.</t>
  </si>
  <si>
    <t>2YTLQ752401680</t>
  </si>
  <si>
    <t>BAR,METAL</t>
  </si>
  <si>
    <t>THE TEHAMA COUNTY SHERIFF'S OFFICE WILL USE BAR, METAL TO BUILD AND REPAIR TARGETS AT THE RANGE USED FOR DEPUTY TRAINING.</t>
  </si>
  <si>
    <t>2YTLQ752209495</t>
  </si>
  <si>
    <t>SHEET,METAL</t>
  </si>
  <si>
    <t>THE TEHAMA COUNTY SHERIFF'S OFFICE WILL USE SHEET, METAL TO FABRICATE PLATES AND ATTACHMENT POINTS FOR PATROL VEHICLE COMPONENTS FOR DEPUTY USE FOR REGULAR AND EMERGENCY RESPONSE.</t>
  </si>
  <si>
    <t>2YTLQ752613561</t>
  </si>
  <si>
    <t>STRIP,METAL</t>
  </si>
  <si>
    <t>THE TEHAMA COUNTY SHERIFF'S OFFICE WILL USE STRIP, METAL TO BUILD FENCES AROUND SHERIFF'S OFFICE BUILDINGS AND PROPERTIES TO SECURE THE LOCATIONS FOR DEPUTY SAFETY AND TO PREVENT THEFT.</t>
  </si>
  <si>
    <t>2YTLQ752401679</t>
  </si>
  <si>
    <t>THE TEHAMA COUNTY SHERIFF'S OFFICE WILL USE BAR, METAL TO BUILD AND REPAIR METAL TARGETS AND TARGET STANDS AT THE RANGE FOR DEPUTY TRAINING.</t>
  </si>
  <si>
    <t>2YTLQ752613562</t>
  </si>
  <si>
    <t>ANGLE,STRUCTURAL</t>
  </si>
  <si>
    <t>THE TEHAMA COUNTY SHERIFF'S OFFICE WILL USE ANGLE, STRUCTURAL TO BUILD AND UPGRADE STORAGE FACILITIES ON SHERIFF'S PROPERTY, LOCATIONS USED FOR EQUIPMENT STORAGE, PROVIDING FOR DEPUTY SAFETY AND TO PREVENT THEFT.</t>
  </si>
  <si>
    <t>2YTLQ752209491</t>
  </si>
  <si>
    <t>POUCH,HUMAN REMAINS</t>
  </si>
  <si>
    <t>THE TEHAMA COUNTY SHERIFF'S OFFICE WILL USE POUCH, HUMAN REMAINS FOR THE COLLECTION OF DECEASED INDIVIDUAL BY THE DEPUTIES AND DEPUTY CORONERS TASKED WITH BODY RECOVERY.</t>
  </si>
  <si>
    <t>2YTLQ751997978</t>
  </si>
  <si>
    <t>THE TEHAMA COUNTY SHERIFF'S OFFICE WILL USE POUCH, HUMAN REMAINS FOR DEPUTIES AND CORONERS TO COLLECT DEAD BODIES DURING NORMAL OPERATIONS, DISASTERS AND TO CONTAIN HUMAN REMAINS AS EVIDENCE IN CRIMINAL CASES.</t>
  </si>
  <si>
    <t>2YTLQ752613569</t>
  </si>
  <si>
    <t>THE TEHAMA COUNTY SHERIFF'S OFFICE WILL USE POUCH, HUMAN REMAINS FOR BODY PICK UP DURING NORMAL CORONER OPERATIONS AND DISASTER RESPONSE.</t>
  </si>
  <si>
    <t>CO</t>
  </si>
  <si>
    <t>CUSTER COUNTY SHERIFF OFFICE (2YTC2B)</t>
  </si>
  <si>
    <t>2YTC2B52552647</t>
  </si>
  <si>
    <t>SLING,CARGO,AERIAL DELIVERY</t>
  </si>
  <si>
    <t>CCCSO, WOULD LIKE TO REQUEST THIS CARGO SLING, FOR THE PURPOSE OF USING IT AS A DRAG LINE OR TOW ROPE FOR VERY HEAVY ITEMS. THANK YOU</t>
  </si>
  <si>
    <t>2YTC2B51857275</t>
  </si>
  <si>
    <t>CCSO, WOULD LIKE TO REQUEST THIS VEHICLE FOR OUR OFFICE, THIS VEHICLE WOULD ALLOW A FAST AND RAPID RESPONSE TO HIGH RISK SITUATIONS THAT WOULD NOT BE SAFE FOR NORMAL EMERGENCY VEHICLES. WE UNDERSTAND THAT THIS IS A CONTROLLED ITEM AND WE HAVE A AUTHORIZATION FOR CONTROLLED ITEMS IN PLACE.</t>
  </si>
  <si>
    <t>2YTC2B52552220</t>
  </si>
  <si>
    <t>DSVEHTIRE</t>
  </si>
  <si>
    <t>TIRES TUBES, PNEUMATIC, EXCEPT AIRCRAFT</t>
  </si>
  <si>
    <t>CCSO, WOULD LIKE TO REQUEST THIS ITEM FOR THE PURPOSE OF USING ON OUR VEHICLES TIRES ARE A BIG ISSUE FOR USE AS WE PLACE A GREAT DEAL OF MILES ON ALL OUR CARS AND TRUCKS. BEING GRANTED THESE ITEMS WOULD BE OF GREAT BENEFIT TO OUR OFFICE.THANK YOU</t>
  </si>
  <si>
    <t>2YTC2B52552218</t>
  </si>
  <si>
    <t>TIRE,PNEUMATIC,VEHI</t>
  </si>
  <si>
    <t>2YTC2B52552217</t>
  </si>
  <si>
    <t>2YTC2B52552649</t>
  </si>
  <si>
    <t>CCSO, WOULD LIKE TO REQUEST THESE TIRES AS TIRES ARE A VERY IMPORTANT ITEM FOR OUR DAILY OPERATIONS. THANK YOU</t>
  </si>
  <si>
    <t>2YTC2B52138962</t>
  </si>
  <si>
    <t>CCSO, WOULD LIKE TO REQUEST THIS EQUIPMENT FOR USE ON OUR RANGE FACILITY, MANY OF OUR PERSONAL ARE RATED TO USE THIS EQUIPMENT AND THIS WOULD BE A GREAT ASSET IN THE BUILDING OF TARGETS AND MAINTAINING OUR FACILITIES.
THANK YOU</t>
  </si>
  <si>
    <t>2YTC2B52279732</t>
  </si>
  <si>
    <t>GRADER,ROAD,MOTORIZED</t>
  </si>
  <si>
    <t>CCSO, WOULD LIKE TO REQUEST THIS GRADER FOR USE IN BUILDING OR RANGE FACILITIES FOR BOTH FIREARMS AND DRIVING HAVING OUR OWN GRADER WITH OUR PERSONAL AS OPERATORS GIVES US A IN HOUSE ABILITY THAT WE HAVE NEVER HAD.
THANK YOU</t>
  </si>
  <si>
    <t>2YTC2B51997920</t>
  </si>
  <si>
    <t>ASSAULT HOSELINE,SY</t>
  </si>
  <si>
    <t>CCSO, WOULD LIKE TO REQUEST THESE HOUSELINE ASY. FOR OUR OFFICE TO FILL THE NEED FOR STORAGE AND SECURITY OF SENSITIVE ITEMS THESE WILL BE USED ON A DAILY BASSES BY OUR OFFICE AND PATROL PERSONAL. THANK YOU</t>
  </si>
  <si>
    <t>2YTC2B52481554</t>
  </si>
  <si>
    <t>CCSO, WOULD LIKE TO REQUEST THIS RESCUE EQUIPMENT FOR THE PURPOSE OF EQUIPPING OUR DEPUTIES WITH THE NECESSARY TOOLS TO SERVE OUR COMMUNITY AS SAFELY AND QUICKLY AS POSSIBLE.
THANK YOU</t>
  </si>
  <si>
    <t>2YTC2B52270021</t>
  </si>
  <si>
    <t>BEACON,DISTRESS</t>
  </si>
  <si>
    <t>CCSO, WOULD LIKE TO REQUEST THESE BEACONS FOR THE PURPOSE OF ISSUING TO OUR PERSONAL TO BE CARRIED ON THERE PERSON ANY TIME THEY ENTER A REMOTE AREA. 
THANK YOU</t>
  </si>
  <si>
    <t>2YTC2B52279665</t>
  </si>
  <si>
    <t>DSPAGING0</t>
  </si>
  <si>
    <t>INTERCOM AND PA SYSTEMS, EXCEPT AIRBOR</t>
  </si>
  <si>
    <t>CCSO, WOULD LIKE TO REQUEST THIS PA SYSTEM FOR THE PURPOSE OF BEING INSTALLED AT OUR RANGE FACILITY ALLOWING OUR RANGE CONTROL OFFICER TO OPERATE FROM ANYWHERE ON THE RANGE AND CONTROL ALL THE LANES AND PERSONAL SAFELY.
THANK YOU</t>
  </si>
  <si>
    <t>2YTC2B51857279</t>
  </si>
  <si>
    <t>CCSO, WOULD LIKE TO REQUEST THIS ITEM FOR THE PURPOSE OF BEING USED BY OUR DEPUTIES FOR NIGHT OR LOW LIGHT OPERATIONS. THANK YOU</t>
  </si>
  <si>
    <t>2YTC2B52482224</t>
  </si>
  <si>
    <t>STORAGE CONTAINER,F</t>
  </si>
  <si>
    <t>CCSO, WOULD LIKE TO REQUEST THIS ITEM FOR THE PURPOSE OF CREATING STORAGE SPACE THAT WE NOW ONLY HAVE IN OUR BUILDING. HAVING THIS KIND OF STORAGE WOULD BE A GREAT ASSET  FOR OUR OFFICE..THANK YOU</t>
  </si>
  <si>
    <t>2YTC2B51716284</t>
  </si>
  <si>
    <t>CCSO, WOULD LIKE TO REQUEST THESE CONTAINERS FOR USE ON OUR RANGE COMPLEX FOR THE POUPOUS OF STORAGE OF SENSITIVE ITEMS I.E. AMMO, TIMERS, TARGETS AND OTHER RANGE RELATED ITEMS. THANK YOU</t>
  </si>
  <si>
    <t>2YTC2B51716282</t>
  </si>
  <si>
    <t>2YTC2B52279718</t>
  </si>
  <si>
    <t>DSSPCLOTA</t>
  </si>
  <si>
    <t>CLOTHING, SPECIAL PURPOSE, DEMIL A</t>
  </si>
  <si>
    <t>CCSO, WOULD LIKE TO REQUEST THESE PANTS IN DIFFERENT SIZES FOR THE PURPOSE OF ISSUING TO OUR PERSONAL TO GIVE A ALTERNATIVE TO OUR TRAINING UNIFORM.
THANK YOU</t>
  </si>
  <si>
    <t>2YTC2B52552221</t>
  </si>
  <si>
    <t>CCSO, WOULD LIKE TO REQUEST THESE HOLSTERS FOR OUR DEPUTIES TO BE USED DURING DAILY DUTIES. THANK YOU</t>
  </si>
  <si>
    <t>DHS/ICE ERO DENVER (2YTR64)</t>
  </si>
  <si>
    <t>2YTR6452279990</t>
  </si>
  <si>
    <t>DSBICYCL1</t>
  </si>
  <si>
    <t>BICYCLE</t>
  </si>
  <si>
    <t xml:space="preserve">EQUIPMENT WILL BE USED IN THE DENVER AOR FOR THE USE OF TRAINING SRT OFFICERS TO MEET WITH PHYSICAL STANDARDS OF THE AGENCY. MAINTAINING A HIGH LEVEL OF AEROBIC AND ANAEROBIC FITNESS POSITIONS OFFICERS TO BE ABLE TO PROTECT AND SERVE THEIR COMMUNITIES. ANYONE IN THE FIELD OF PUBLIC SAFETY OR LAW ENFORCEMENT SHOULD HAVE THE ABILITY TO PERFORM A SUSTAINED LEVEL OF ACTIVITY FOR 20 MINUTES OR MORE. 
</t>
  </si>
  <si>
    <t>2YTR6452279744</t>
  </si>
  <si>
    <t>EXERCISER,TREADMILL</t>
  </si>
  <si>
    <t>LAMAR POLICE DEPARTMENT (2YTGHQ)</t>
  </si>
  <si>
    <t>2YTGHQ52481545</t>
  </si>
  <si>
    <t>FOR A SMALL POLICE DEPARTMENT TO USE ON PATROL AND HAVE MORE OFFICER WITH LESS LETHAL OPTIONS.</t>
  </si>
  <si>
    <t>2YTGHQ52559874</t>
  </si>
  <si>
    <t>FOR USE ON PATROL RIFLES DURING CRITICAL INCIDENTS.</t>
  </si>
  <si>
    <t>2YTGHQ52489553</t>
  </si>
  <si>
    <t>FOR USE AT A POLICE DEPARTMENT IN HIGH RISK SITUATIONS.</t>
  </si>
  <si>
    <t>2YTGHQ52411551</t>
  </si>
  <si>
    <t>VIEWER,INFRARED</t>
  </si>
  <si>
    <t>FOR USE IN APPREHENSION OF WANTED SUBJECTS AT NIGHT.</t>
  </si>
  <si>
    <t>LOCHBUIE POLICE DEPT (2YTGVE)</t>
  </si>
  <si>
    <t>2YTGVE52411100</t>
  </si>
  <si>
    <t>DSRACKWEA</t>
  </si>
  <si>
    <t>WEAPONS RACK, GUN, SMALL ARMS DEMIL A</t>
  </si>
  <si>
    <t>LOCHBUIE PD IS A SMALL AGENCY WITH A LIMITED BUDGET. THESE WEAPON STORAGE RACKS WOULD HELP PROVIDE OUR OFFICERS WITH A PLACE TO SAFELY SECURE THEIR RIFLES. WE WOULD USE THEM DAILY IN OUR ARMORY AND ON THE RANGE.</t>
  </si>
  <si>
    <t>2YTGVE52279896</t>
  </si>
  <si>
    <t>LOCHBUIE PD IS A SMALL AGENCY WITH A LIMITED BUDGET, SO EVERY TOOL MATTERS. THESE EMERGENCY BEACONS WOULD BE A HUGE ASSET FOR US. THEY WILL ALLOW US TO SAFELY LOCATE OUR OFFICERS IF THEY NEED ASSISTANCE WHILE OPERATING IN OUR MORE RURAL AREAS.</t>
  </si>
  <si>
    <t>2YTGVE52340332</t>
  </si>
  <si>
    <t>HEADSET,ELECTRICAL</t>
  </si>
  <si>
    <t>LOCHBUIE PD IS A SMALL AGENCY WITH A LIMITED BUDGET, SO EVERY TOOL MATTERS. THESE HEADSETS WOULD BE A HUGE ASSET FOR US, ALLOWING OUR OFFICERS TO MORE EFFECTIVELY COMMUNICATE WITH EACH OTHER DURING DAY TO DAY ACTIVITIES AND TRAINING WHILE ALSO PROVIDING HEARING PROTECTION WHILE AT THE RANGE.</t>
  </si>
  <si>
    <t>2YTGVE52410911</t>
  </si>
  <si>
    <t>GENERATOR,ALTERNATING CURRENT-DIRECT CUR</t>
  </si>
  <si>
    <t>LOCHBUIE PD IS A SMALL AGENCY WITH A LIMITED BUDGET, SO EVERY LITTLE BIT HELPS. A GENERATOR WOULD BE A TREMENDOUS HELP TO OUR DEPARTMENT. WE WOULD USE IT TO SUPPLY POWER TO A NUMBER OF THINGS WHILE OUT ON LONG CALLS AND ON REMOTE TRAININGS.</t>
  </si>
  <si>
    <t>2YTGVE52138998</t>
  </si>
  <si>
    <t>LOCHBUIE PD IS A SMALL AGENCY WITH A LIMITED BUDGET. THESE FLASHLIGHTS WOULD HELP PROVIDE OUR OFFICERS WITH THE NECESSARY TOOLS TO PERFORM THEIR JOBS SAFELY IN LOW-LIGHT SITUATIONS. WE WOULD USE THEM DAILY IN OUR POLICE DEPARTMENT</t>
  </si>
  <si>
    <t>2YTGVE51786910</t>
  </si>
  <si>
    <t>FLOODLIGHT SET,ELECTRIC</t>
  </si>
  <si>
    <t>LOCHBUIE PD IS A SMALL AGENCY WITH A LIMITED BUDGET, SO EVERY LITTLE BIT HELPS. A GENERATOR WITH FLOODLIGHTS WOULD BE A TREMENDOUS HELP TO OUR DEPARTMENT. WE WOULD USE IT TO SUPPLY POWER AND LIGHT TO A NUMBER OF THINGS WHILE OUT ON LONG CALLS AND ON REMOTE TRAININGS.</t>
  </si>
  <si>
    <t>2YTGVE51786789</t>
  </si>
  <si>
    <t>DISPLAY UNIT</t>
  </si>
  <si>
    <t>LOCHBUIE PD IS A SMALL AGENCY WITH A LIMITED BUDGET, SO EVERY TOOL MATTERS. THESE MONITORS WOULD BE A HUGE ASSET TO US, ALLOWING US TO REPLACE OUR CURRENT OLD AND OUTDATED SCREENS. THESE MONITORS WILL BE USED DAILY FOR REPORT WRITING AND OTHER LAW ENFORCEMENT PURPOSES.</t>
  </si>
  <si>
    <t>2YTGVE52410987</t>
  </si>
  <si>
    <t>SHIPPING AND STORAGE CONTAINER,COMMUNICA</t>
  </si>
  <si>
    <t>LOCHBUIE PD IS A SMALL AGENCY WITH A LIMITED BUDGET. THESE CASES WILL HELP PROVIDE OUR OFFICERS WITH A PLACE TO SAFELY SECURE THEIR EQUIPMENT. WE WOULD USE THEM DAILY IN OUR POLICE DEPARTMENT</t>
  </si>
  <si>
    <t>2YTGVE51857301</t>
  </si>
  <si>
    <t>LOCHBUIE PD IS A SMALL AGENCY WITH A LIMITED BUDGET. THESE WEAPON RUCKSACKS WOULD BENEFIT OUR OFFICERS DAILY BY ALLOWING THEM TO CARRY AND TRANSPORT MORE EQUIPMENT FROM ONE CALL TO THE NEXT WHILE REMAINING ORGANIZED AND EFFECTIVE.</t>
  </si>
  <si>
    <t>DC</t>
  </si>
  <si>
    <t>DHS/CBP WASHINGTON DC (2YTRGK)</t>
  </si>
  <si>
    <t>2YTRGK5077JG51</t>
  </si>
  <si>
    <t>2YTRGK51998556</t>
  </si>
  <si>
    <t>HEATER,DUCT TYPE,PORTABLE</t>
  </si>
  <si>
    <t>HEATERS TO BE USED BY NORTHERN PORTS OF ENTRY CONDUCTING LAW ENFORCEMENT BORDER SECURITY OPERATIONS DURING COLD WEATHER MONTHS</t>
  </si>
  <si>
    <t>2YTRGK51998557</t>
  </si>
  <si>
    <t>2YTRGK51998555</t>
  </si>
  <si>
    <t>2YTRGK51927725</t>
  </si>
  <si>
    <t>FOR USE BY CBP LAW ENFORCEMENT PERSONNEL TO HELP ILLUMINATE DARK AREA AND PROVIDE LIGHTING AT NIGHT FOR LAW ENFORCEMENT OPERATIONS</t>
  </si>
  <si>
    <t>2YTRGK52209648</t>
  </si>
  <si>
    <t>LITTER,FOLDING,RIGI</t>
  </si>
  <si>
    <t>FOR OUR CBP LAW ENFORCEMENT EMTS USE DURING EMERGENCY'S AND NATURAL DISASTERS</t>
  </si>
  <si>
    <t>USDT/TIGTA WASHINGTON DC (2YTSXU)</t>
  </si>
  <si>
    <t>2YTSXU5197KM33</t>
  </si>
  <si>
    <t>DSCASE003</t>
  </si>
  <si>
    <t>CASE</t>
  </si>
  <si>
    <t>2YTSXU51927996</t>
  </si>
  <si>
    <t>THESE JACKETS WILL BE ISSUED TO OUR AGENTS WHO DEPLOY WITH FEMA AS PART OF THE ESF 13 TEAM</t>
  </si>
  <si>
    <t>2YTSXU52391420</t>
  </si>
  <si>
    <t>THESE JACKETS WILL BE ISSUED TO AGENTS WHO DEPLOY WITH FEMA AS PART OF OUR ESF 13 TEAM</t>
  </si>
  <si>
    <t>2YTSXU51857412</t>
  </si>
  <si>
    <t>THESE JACKETS WILL BE ISSUED TO OUR ESF 13 AGENTS WHO DEPLOY WITH FEMA TO DISASTER AREAS</t>
  </si>
  <si>
    <t>2YTSXU52481424</t>
  </si>
  <si>
    <t>BOOTS,COMBAT</t>
  </si>
  <si>
    <t>THIS PAIR OF BOOTS WILL BE ISSUED TO AN AGENT WHO DEPLOYS WITH FEMA AS PART OF OUR ESF 13 TEAM</t>
  </si>
  <si>
    <t>2YTSXU52138817</t>
  </si>
  <si>
    <t>MODULAR SLEEP SYSTE</t>
  </si>
  <si>
    <t>THESE SLEEPING KITS WILL BE ISSUED TO AGENTS WHO ARE MEMBERS OF OUR FEMA ESF 13 TEAM</t>
  </si>
  <si>
    <t>2YTSXU5197KM34</t>
  </si>
  <si>
    <t>DE</t>
  </si>
  <si>
    <t>FENWICK ISLAND POLICE DEPT (2YTD1X)</t>
  </si>
  <si>
    <t>2YTD1X51646221</t>
  </si>
  <si>
    <t>BANDAGE,ELASTIC</t>
  </si>
  <si>
    <t>NEEDED BANDAGES FOR PATROL VEHICLES AND POLICE DEPARTMENT.  USED FOR EMERGENCY SITUATIONS AND REQUESTING ADDITIONAL FOR REPLACEMENTS.</t>
  </si>
  <si>
    <t>2YTD1X51646223</t>
  </si>
  <si>
    <t>BLANKET,SURVIVAL</t>
  </si>
  <si>
    <t>USED BY OFFICERS WHEN RESPONDING TO INDIVIDUALS WHO HAVE BEEN EXPOSED TO COLD WATERS IN EMERGENCY SITUATIONS.  ALSO USED TO MAINTAIN EXPOSURE OF VICTIMS DURING ACCIDENTS.  REQUESTING ADDITIONAL TO REPLACE ITEMS USED DURING NORMAL PATROLS.</t>
  </si>
  <si>
    <t>FL</t>
  </si>
  <si>
    <t>BAY COUNTY SHERIFF'S OFFICE (2YTAYW)</t>
  </si>
  <si>
    <t>2YTAYW52481390</t>
  </si>
  <si>
    <t>TRUCK,MAINTENANCE</t>
  </si>
  <si>
    <t>THE BAY COUNTY SHERIFF'S OFFICE NEEDS ONE OF THESE MAINTENANCE TRUCKS TO ASSIGN TO OUR INVESTIGATIONS AND NARCOTICS DIVISIONS TO BE ABLE TO EASILY PLACE UNDERCOVER CAMERAS IN HIGH CRIME AREAS UNDER THE GUISE AS REGULAR MAINTENANCE CREWS.</t>
  </si>
  <si>
    <t>2YTAYW52411624</t>
  </si>
  <si>
    <t>THE BAY COUNTY SHERIFF'S OFFICE NEEDS THIS FORKLIFT TO ASSIGN TO OUR MAINTENANCE FACILITY AUTO REPAIR SHOP AT THE OPERATIONS CENTER. OUR CURRENT FORKLIFT IS NEARING THE END OF IT'S LIFE.</t>
  </si>
  <si>
    <t>2YTAYW52481626</t>
  </si>
  <si>
    <t>SHELTER,NONEXPANDABLE</t>
  </si>
  <si>
    <t>THE BAY COUNTY SHERIFF'S OFFICE NEEDS THIS ITEM TO USE IN OUR SHOOT DON'T SHOOT FIREARMS TRAINING VILLAGE AT OUR TRAINING GROUNDS.</t>
  </si>
  <si>
    <t>2YTAYW52481627</t>
  </si>
  <si>
    <t>2YTAYW52411261</t>
  </si>
  <si>
    <t>THE BAY COUNTY SHERIFF'S OFFICE NEEDS THIS SHELTER TO ADD TO OUR SHOOT DON'T SHOOT EXERCISE AT OUR FIREARMS TRAINING RANGE</t>
  </si>
  <si>
    <t>2YTAYW52411263</t>
  </si>
  <si>
    <t>DOJ/DEA MIAMI FIELD DIVISION (2YTMPA)</t>
  </si>
  <si>
    <t>2YTMPA52209317</t>
  </si>
  <si>
    <t>DSOPTSIGH</t>
  </si>
  <si>
    <t>OPTICAL SIGHTING AND RANGING EQUIPMENT</t>
  </si>
  <si>
    <t>NEEDED BY LEA FOR SIGHTING AND RANGING TARGETS</t>
  </si>
  <si>
    <t>2YTMPA51927587</t>
  </si>
  <si>
    <t>FILTER UNIT,LASER</t>
  </si>
  <si>
    <t>FOR USE BY LEA TO ENHANCE SAFETY DURING LASER USE</t>
  </si>
  <si>
    <t>2YTMPA51575470</t>
  </si>
  <si>
    <t>COMMON LASER RANGEFINDER SET</t>
  </si>
  <si>
    <t>FOR USE IN TACTICAL APPLICATION BY LEA FOR DISTANCE</t>
  </si>
  <si>
    <t>2YTMPA52278135</t>
  </si>
  <si>
    <t>NEEDED BY LEA FOR TACTICAL APPLICATIONS, AND FOR HAZARDOUS ENVIRONMENT APPLICATIONS.</t>
  </si>
  <si>
    <t>2YTMPA51927580</t>
  </si>
  <si>
    <t xml:space="preserve">FOR USE BY LEA IN TACTICAL FLIGHT APPLICATIONS
</t>
  </si>
  <si>
    <t>2YTMPA51786666</t>
  </si>
  <si>
    <t>SIGHT,BORE,MUZZLE</t>
  </si>
  <si>
    <t>FOR USE BY LEA IN WEAPONS MAINTENANCE</t>
  </si>
  <si>
    <t>2YTMPA52209318</t>
  </si>
  <si>
    <t>LASER</t>
  </si>
  <si>
    <t>FOR USE BY LEA IN VISUAL COMMUNICATION APPLICATIONS</t>
  </si>
  <si>
    <t>2YTMPA52139307</t>
  </si>
  <si>
    <t>CAMERA,TELEVISION</t>
  </si>
  <si>
    <t>NEEDED BY LEA FOR VIDEO DOCUMENTATIONA</t>
  </si>
  <si>
    <t>2YTMPA52270220</t>
  </si>
  <si>
    <t>FOR USE BY LEA IN VIDEO APPLICATIONS</t>
  </si>
  <si>
    <t>2YTMPA51786657</t>
  </si>
  <si>
    <t>VIEWING SET,INFRARE</t>
  </si>
  <si>
    <t>FOR USE BY LEA TO MAKE LOW LIGHT OBSERVATIONS</t>
  </si>
  <si>
    <t>2YTMPA51998152</t>
  </si>
  <si>
    <t>RECEIVER,INFRARED</t>
  </si>
  <si>
    <t>NEEDED BY LEA FOR LOW LIGHT TACTICAL OPERATIONS</t>
  </si>
  <si>
    <t>2YTMPA51998153</t>
  </si>
  <si>
    <t>2YTMPA51998154</t>
  </si>
  <si>
    <t>TURRET,ASSEMBLY,INFRARED</t>
  </si>
  <si>
    <t>NEEDED BY THE LEA FOR ADVANCED VEHICLE MOUNTED SURVEILLANCE OPERATIONS.</t>
  </si>
  <si>
    <t>2YTMPA51787111</t>
  </si>
  <si>
    <t>INFRARED EQUIPMENT,</t>
  </si>
  <si>
    <t>FOR USE BY LEA FOR INFRARED VIEWING ON SURVEILLANCE</t>
  </si>
  <si>
    <t>2YTMPA51857579</t>
  </si>
  <si>
    <t>TRANSMITTER,INFRARE</t>
  </si>
  <si>
    <t xml:space="preserve">FOR USE BY LEA IN TACTICAL APPLICATIONS
</t>
  </si>
  <si>
    <t>2YTMPA51787110</t>
  </si>
  <si>
    <t>2YTMPA51786651</t>
  </si>
  <si>
    <t>DSIMINTEN</t>
  </si>
  <si>
    <t>IMAGE INTENSIFIER</t>
  </si>
  <si>
    <t>USED BY LEA TO MAKE OBSERVATIONS IN THE DARK</t>
  </si>
  <si>
    <t>2YTMPA51786656</t>
  </si>
  <si>
    <t>FOR USE BY LEA TO MAKE SURVEILLANCE OBSERVATIONS IN THE DARK</t>
  </si>
  <si>
    <t>2YTMPA51787108</t>
  </si>
  <si>
    <t xml:space="preserve">FOR USE BY LEA FOR INFRARED VIEWING ON SURVEILLANCE
</t>
  </si>
  <si>
    <t>2YTMPA51786652</t>
  </si>
  <si>
    <t>TO ASSIST LEA IN SURVEILLANCE WITH COUNTER DRUG MISSION.</t>
  </si>
  <si>
    <t>2YTMPA51786654</t>
  </si>
  <si>
    <t>FOR USE BY LEA TO MAKE SURVEILLANCE OBSERVATIONS IN LOW LIGHT DURING COUNTER DRUG MISSION</t>
  </si>
  <si>
    <t>2YTMPA52340230</t>
  </si>
  <si>
    <t>MARKER,LASER</t>
  </si>
  <si>
    <t>FOR USE BY LEA IN CRITICAL AVIATION LAW ENFORCEMENT AND TARGET IDENTIFICATION APPLICATIONS</t>
  </si>
  <si>
    <t>2YTMPA52270231</t>
  </si>
  <si>
    <t xml:space="preserve">FOR USE BY LEA IN CRITICAL AVIATION LAW ENFORCEMENT AND TARGET IDENTIFICATION APPLICATIONS
</t>
  </si>
  <si>
    <t>2YTMPA51575483</t>
  </si>
  <si>
    <t>LIGHT,IR,DRIVING</t>
  </si>
  <si>
    <t>FOR USE BY LEA IN TACTICAL DRIVING APPLICATIONS</t>
  </si>
  <si>
    <t>2YTMPA52270209</t>
  </si>
  <si>
    <t>FOR ILLUMINATION USE BY LEA IN CRITICAL LAW ENFORCMENT ACTIONS TO PROMOTE AGENT SAFETY</t>
  </si>
  <si>
    <t>2YTMPA51786660</t>
  </si>
  <si>
    <t>FOR USE BY LEA IN LOW LIGHT OPERATIONS</t>
  </si>
  <si>
    <t>2YTMPA51716665</t>
  </si>
  <si>
    <t>LIGHT UNIT,PORTABLE</t>
  </si>
  <si>
    <t>FOR USE BY LEA IN LOW LIGHT APPLICATIONS</t>
  </si>
  <si>
    <t>2YTMPA51998140</t>
  </si>
  <si>
    <t>GLOVES, TACTICAL EXAM, NITRILE RUBBER</t>
  </si>
  <si>
    <t>FOR USE BY LEA TO PROCESS EVIDENCE</t>
  </si>
  <si>
    <t>2YTMPA51998147</t>
  </si>
  <si>
    <t xml:space="preserve">FOR USE BY LEA TO PROCESS EVIDENCE
</t>
  </si>
  <si>
    <t>2YTMPA51998143</t>
  </si>
  <si>
    <t>2YTMPA51998146</t>
  </si>
  <si>
    <t>2YTMPA51998145</t>
  </si>
  <si>
    <t>2YTMPA51998144</t>
  </si>
  <si>
    <t>2YTMPA51716673</t>
  </si>
  <si>
    <t>OSCILLOSCOPE</t>
  </si>
  <si>
    <t>TO AID LEA IN TECHNICAL ANALYSIS</t>
  </si>
  <si>
    <t>2YTMPA51786672</t>
  </si>
  <si>
    <t>MICROSCOPE,OPTICAL</t>
  </si>
  <si>
    <t>TO ASSIST LEA IN FORENSIC ANALYSIS</t>
  </si>
  <si>
    <t>2YTMPA51857129</t>
  </si>
  <si>
    <t xml:space="preserve">FOR USE BY LEA IN SURVEILLANCE APPLICATIONS
</t>
  </si>
  <si>
    <t>2YTMPA51857128</t>
  </si>
  <si>
    <t>FOR USE BY LEA IN SURVEILLANCE APPLICATIONS</t>
  </si>
  <si>
    <t>2YTMPA51857127</t>
  </si>
  <si>
    <t>2YTMPA51927582</t>
  </si>
  <si>
    <t>CAMERA SYSTEM,DIGITAL</t>
  </si>
  <si>
    <t>FOR USE BY LEA IN SURVEILLANCE AND PHOTOGRAPHIC APPLICATIONS</t>
  </si>
  <si>
    <t>2YTMPA51998136</t>
  </si>
  <si>
    <t>FOR USE BY LEA TO DOCUMENT EVIDENCE</t>
  </si>
  <si>
    <t>2YTMPA51997874</t>
  </si>
  <si>
    <t>FOR USE BY LEA ON COUNTER DRUG SURVEILLANCE APPLICATIONS</t>
  </si>
  <si>
    <t>2YTMPA51646176</t>
  </si>
  <si>
    <t>FOR USE BY LEA IN SURVEILLANCE EFFORTS</t>
  </si>
  <si>
    <t>2YTMPA51716157</t>
  </si>
  <si>
    <t>2YTMPA52270222</t>
  </si>
  <si>
    <t>FOR USE BY LEA IN CRIME SCENE CAPTURE AND RECORDING.</t>
  </si>
  <si>
    <t>2YTMPA52270228</t>
  </si>
  <si>
    <t>NEEDED BY LEA TO CONDUCTED CRITICAL SURVEILLANCE</t>
  </si>
  <si>
    <t>2YTMPA52209312</t>
  </si>
  <si>
    <t>FOR USE BY LEA TO DOCUMENT CRIME SCENES.</t>
  </si>
  <si>
    <t>2YTMPA52209311</t>
  </si>
  <si>
    <t>FOR USE BY LEA TO CONDUCT SURVEILLANCE AND DOCUMENT CRIME SCENE.</t>
  </si>
  <si>
    <t>2YTMPA52209310</t>
  </si>
  <si>
    <t>2YTMPA52209314</t>
  </si>
  <si>
    <t>2YTMPA52270225</t>
  </si>
  <si>
    <t>DSPHOTACC</t>
  </si>
  <si>
    <t>PHOTOGRAPHIC EQUIPMENT AND ACCESSORIES</t>
  </si>
  <si>
    <t xml:space="preserve">FOR USE BY LEA IN DOCUMENTING CRIME SCENE AND PHOTOGRAPHIC APPLICATIONS.
</t>
  </si>
  <si>
    <t>2YTMPA52270224</t>
  </si>
  <si>
    <t>FOR USE BY LEA IN DOCUMENTING CRIME SCENE AND PHOTOGRAPHIC APPLICATIONS.</t>
  </si>
  <si>
    <t>2YTMPA51857125</t>
  </si>
  <si>
    <t>TRIPOD,PHOTOGRAPHIC</t>
  </si>
  <si>
    <t>2YTMPA51927581</t>
  </si>
  <si>
    <t>LENS,CAMERA,GENERAL PHOTOGRAPHIC</t>
  </si>
  <si>
    <t>2YTMPA51998137</t>
  </si>
  <si>
    <t>2YTMPA51646175</t>
  </si>
  <si>
    <t>2YTMPA51646174</t>
  </si>
  <si>
    <t>2YTMPA51857126</t>
  </si>
  <si>
    <t>LIGHTING KIT,PHOTOG</t>
  </si>
  <si>
    <t xml:space="preserve">FOR USE BY LEA IN CRIME SCENE ANALYSIS
</t>
  </si>
  <si>
    <t>2YTMPA51786662</t>
  </si>
  <si>
    <t>TIMER,INTERVAL,TRAINING KIT</t>
  </si>
  <si>
    <t>FOR USE BY LEA DURING PT EVENTS</t>
  </si>
  <si>
    <t>2YTMPA51857573</t>
  </si>
  <si>
    <t>DSEXTERNA</t>
  </si>
  <si>
    <t>HARD DRIVE, EXTERNAL</t>
  </si>
  <si>
    <t>2YTMPA51575477</t>
  </si>
  <si>
    <t>CAN,MILITARY</t>
  </si>
  <si>
    <t>USE BY LEA TO STORE FUEL IN ESF APPLICATIONS</t>
  </si>
  <si>
    <t>2YTMPA52139316</t>
  </si>
  <si>
    <t>FOR USE BY LEA IN EMERGENCY FUEL STORAGE OPERATIONS SUCH AS ESF DEPLOYMENTS</t>
  </si>
  <si>
    <t>2YTMPA52340226</t>
  </si>
  <si>
    <t>FOR USE BY LEA TO STORE EQUIPMENT</t>
  </si>
  <si>
    <t>2YTMPA52139305</t>
  </si>
  <si>
    <t>CHEST,AMMUNITION</t>
  </si>
  <si>
    <t>FOR USE BY LEA TO STORE AMMUNITION</t>
  </si>
  <si>
    <t>2YTMPA51716169</t>
  </si>
  <si>
    <t>DSPELCNLG</t>
  </si>
  <si>
    <t>CASE, PELICAN, LARGE, &gt;500 SQ IN</t>
  </si>
  <si>
    <t>USED BY LEA TO TRANSPORT AND STORE EQUIPMENT</t>
  </si>
  <si>
    <t>2YTMPA51716166</t>
  </si>
  <si>
    <t>DSGLOVESS</t>
  </si>
  <si>
    <t>GLOVES, SAFETY</t>
  </si>
  <si>
    <t>FOR USE BY LEO AS PPE</t>
  </si>
  <si>
    <t>2YTMPA51716158</t>
  </si>
  <si>
    <t>2YTMPA51716161</t>
  </si>
  <si>
    <t>2YTMPA51716162</t>
  </si>
  <si>
    <t>2YTMPA51716163</t>
  </si>
  <si>
    <t>2YTMPA51716164</t>
  </si>
  <si>
    <t>2YTMPA51716165</t>
  </si>
  <si>
    <t>2YTMPA51716167</t>
  </si>
  <si>
    <t>2YTMPA51716168</t>
  </si>
  <si>
    <t>2YTMPA51716668</t>
  </si>
  <si>
    <t>MEDIC BAG</t>
  </si>
  <si>
    <t>FOR USE BY LEA IN TAC MED APPLICATIONS</t>
  </si>
  <si>
    <t>2YTMPA51575468</t>
  </si>
  <si>
    <t>DSBAG0002</t>
  </si>
  <si>
    <t>INDIVIDUAL BAG</t>
  </si>
  <si>
    <t>FOR USE BY LEA IN COUNTER DRUG MISSION</t>
  </si>
  <si>
    <t>2YTMPA51787132</t>
  </si>
  <si>
    <t>GOGGLES,LASER SAFET</t>
  </si>
  <si>
    <t>FRANKLIN COUNTY SHERIFF OFFICE (2YTPD9)</t>
  </si>
  <si>
    <t>2YTPD952139038</t>
  </si>
  <si>
    <t>ITEM WILL BE USED FOR LOADING AND UNLOADING OF EQUIPMENT AND SUPPLIES DURING NATURAL DISASTERS AND EQUIPMENT FOR USE AT THE FRANKLINN COUNTY SHERIFF OFFICE.</t>
  </si>
  <si>
    <t>LAKE COUNTY SHERIFF'S OFFICE (2YTGE4)</t>
  </si>
  <si>
    <t>2YTGE452209342</t>
  </si>
  <si>
    <t>WHEEL,PNEUMATIC TIR</t>
  </si>
  <si>
    <t>AY</t>
  </si>
  <si>
    <t>TO ENHANCE THE AGENCY, LAKE COUNTY SHERIFF'S OFFICE, IN ITS LAW ENFORCEMENT RESPONSE INTO DISASTER AREAS AS REQUESTED BY THE STATE OF FLORIDA TO ASSIST THE LOCAL COMMUNITY DURING TIMES OF CRISIS. THIS ASSET WOULD BE PART OF OUR SELF-SUSTAINING DEPLOYABLE CAMP SET.</t>
  </si>
  <si>
    <t>2YTGE451857232</t>
  </si>
  <si>
    <t xml:space="preserve">
TO ENHANCE THE AGENCY, LAKE COUNTY SHERIFF'S OFFICE, IN ITS LAW ENFORCEMENT RESPONSE IN FLEET MAINTENANCE OPERATIONS AND WAREHOUSING OPERATIONS.</t>
  </si>
  <si>
    <t>2YTGE451857176</t>
  </si>
  <si>
    <t>TO ENHANCE THE AGENCY, LAKE COUNTY SHERIFF'S OFFICE, IN ITS LAW ENFORCEMENT TRAINING PROGRAM BY PROVIDING COOLING STATIONS AT OUR OUTDOOR RANGE COMPLEX.</t>
  </si>
  <si>
    <t>2YTGE451857177</t>
  </si>
  <si>
    <t>2YTGE452139389</t>
  </si>
  <si>
    <t xml:space="preserve">TO ENHANCE THE AGENCY, LAKE COUNTY SHERIFF'S OFFICE, IN ITS LAW ENFORCEMENT RESPONSE INTO DISASTER AREAS AS REQUESTED BY THE STATE OF FLORIDA TO ASSIST THE LOCAL COMMUNITY DURING TIMES OF CRISIS. THIS ASSET WOULD BE A EYE SAFETY ASSET THAT IS PART OF OUR SELF-SUSTAINING CAMP SET. 
</t>
  </si>
  <si>
    <t>2YTGE452209388</t>
  </si>
  <si>
    <t>2YTGE452209382</t>
  </si>
  <si>
    <t xml:space="preserve">TO ENHANCE THE AGENCY, LAKE COUNTY SHERIFF'S OFFICE, IN ITS LAW ENFORCEMENT RESPONSE INTO DISASTER AREAS AS REQUESTED BY THE STATE OF FLORIDA TO ASSIST THE LOCAL COMMUNITY DURING TIMES OF CRISIS. THIS ASSET WOULD BE A EYE SAFETY ASSET THAT IS PART OF OUR SELF-SUSTAINING CAMP SET. 
</t>
  </si>
  <si>
    <t>2YTGE452209357</t>
  </si>
  <si>
    <t>DSJACK000</t>
  </si>
  <si>
    <t>JACK</t>
  </si>
  <si>
    <t xml:space="preserve">TO ENHANCE THE AGENCY, LAKE COUNTY SHERIFF'S OFFICE, IN ITS LAW ENFORCEMENT RESPONSE INTO DISASTER AREAS AS REQUESTED BY THE STATE OF FLORIDA TO ASSIST THE LOCAL COMMUNITY DURING TIMES OF CRISIS. THIS ASSET WOULD BE PART OF OUR DEPLOYABLE SELF-SUSTAINING CAMP SET. 
</t>
  </si>
  <si>
    <t>2YTGE452410920</t>
  </si>
  <si>
    <t>MAST</t>
  </si>
  <si>
    <t>TO ENHANCE THE AGENCY, LAKE COUNTY SHERIFF'S OFFICE, IN ITS LAW ENFORCEMENT RESPONSE INTO DISASTER AREAS AS REQUESTED BY THE STATE OF FLORIDA TO ASSIST THE LOCAL COMMUNITY DURING TIMES OF CRISIS. THIS ASSET WOULD BE PART OF OUR SELF-SUSTAINING COMMUNICATIONS GROUP</t>
  </si>
  <si>
    <t>2YTGE451927718</t>
  </si>
  <si>
    <t>TO ENHANCE THE AGENCY, LAKE COUNTY SHERIFF'S OFFICE, IN ITS LAW ENFORCEMENT WAREHOUSE STORAGE NEEDS IN THE COMMUNICATIONS DEPARTMENT.</t>
  </si>
  <si>
    <t>2YTGE451857719</t>
  </si>
  <si>
    <t>TO ENHANCE THE AGENCY, LAKE COUNTY SHERIFF'S OFFICE IN ITS WAREHOUSING NEEDS IN THE COMMUNICATIONS DEPARTMENT</t>
  </si>
  <si>
    <t>2YTGE452481564</t>
  </si>
  <si>
    <t>BAG,SAND</t>
  </si>
  <si>
    <t>HD</t>
  </si>
  <si>
    <t>TO ENHANCE THE AGENCY, LAKE COUNTY SHERIFF'S OFFICE, IN ITS LAW ENFORCEMENT RESPONSE INTO DISASTER AREAS AS REQUESTED BY THE STATE OF FLORIDA TO ASSIST THE LOCAL COMMUNITY DURING TIMES OF CRISIS. THIS ASSET WOULD BE DEPLOYED TO CITIZENS THAT ARE IN DIRE NEED OF WATER- FLOODING MITIGATION.</t>
  </si>
  <si>
    <t>2YTGE452481566</t>
  </si>
  <si>
    <t>2YTGE451928185</t>
  </si>
  <si>
    <t>SHIPPING AND STORAGE CONTAINER,MISCELLAN</t>
  </si>
  <si>
    <t>TO ENHANCE THE AGENCY, LAKE COUNTY SHERIFF'S OFFICE, IN ITS LAW ENFORCEMENT RESPONSE INTO DISASTER AREAS AS REQUESTED BY THE STATE OF FLORIDA TO ASSIST THE LOCAL COMMUNITY DURING TIMES OF CRISIS. THIS ASSET WOULD BE PART OF OUR SELF-SUSTAINING DEPLOYMENT PACKAGE</t>
  </si>
  <si>
    <t>2YTGE451857196</t>
  </si>
  <si>
    <t>GLOVES,MEN'S AND WO</t>
  </si>
  <si>
    <t>TO ENHANCE THE AGENCY, LAKE COUNTY SHERIFF'S OFFICE, IN ITS LAW ENFORCEMENT RESPONSE INTO DISASTER AREAS AS REQUESTED BY THE STATE OF FLORIDA TO ASSIST THE LOCAL COMMUNITY DURING TIMES OF CRISIS. THIS ASSET WOULD BE PART OF OUR SELF-SUSTAINING DEPLOYMENT PACKAGE.</t>
  </si>
  <si>
    <t>2YTGE451857191</t>
  </si>
  <si>
    <t xml:space="preserve">TO ENHANCE THE AGENCY, LAKE COUNTY SHERIFF'S OFFICE, IN ITS LAW ENFORCEMENT RESPONSE INTO DISASTER AREAS AS REQUESTED BY THE STATE OF FLORIDA TO ASSIST THE LOCAL COMMUNITY DURING TIMES OF CRISIS. THIS ASSET WOULD BE PART OF OUR SELF-SUSTAINING DEPLOYMENT PACKAGE. 
</t>
  </si>
  <si>
    <t>2YTGE451857193</t>
  </si>
  <si>
    <t>2YTGE451857195</t>
  </si>
  <si>
    <t>2YTGE451857197</t>
  </si>
  <si>
    <t>2YTGE451292763</t>
  </si>
  <si>
    <t>TO ENHANCE THE AGENCY, LAKE COUNTY SHERIFF'S OFFICE, IN ITS LAW ENFORCEMENT RESPONSE INTO DISASTER AREAS AS REQUESTED BY THE STATE OF FLORIDA TO ASSIST THE LOCAL COMMUNITY DURING TIMES OF CRISIS. THIS ASSET WOULD BE PART OF OUR SELF-SUSTAINING CAMP SET.</t>
  </si>
  <si>
    <t>2YTGE451857234</t>
  </si>
  <si>
    <t>TO ENHANCE THE AGENCY, LAKE COUNTY SHERIFF'S OFFICE, IN ITS LAW ENFORCEMENT RESPONSE INTO DISASTER AREAS AS REQUESTED BY THE STATE OF FLORIDA TO ASSIST THE LOCAL COMMUNITY DURING TIMES OF CRISIS. THIS ASSET WOULD BE PART OF OUR SELF-SUSTAINING DEPLOYMENT PACKAGE TRAVEL SET.</t>
  </si>
  <si>
    <t>2YTGE451857235</t>
  </si>
  <si>
    <t>TO ENHANCE THE AGENCY, LAKE COUNTY SHERIFF'S OFFICE, IN ITS LAW ENFORCEMENT RESPONSE INTO DISASTER AREAS AS REQUESTED BY THE STATE OF FLORIDA TO ASSIST THE LOCAL COMMUNITY DURING TIMES OF CRISIS. THIS ASSET WOULD BE PART OF OUR SELF-SUSTAINING DEPLOYABLE TRAVEL SET.</t>
  </si>
  <si>
    <t>2YTGE451998078</t>
  </si>
  <si>
    <t>2YTGE451998079</t>
  </si>
  <si>
    <t>POLK COUNTY SHERIFF OFFICE (2YTJS0)</t>
  </si>
  <si>
    <t>2YTJS051927548</t>
  </si>
  <si>
    <t>THE POLK COUNTY SHERIFF'S OFFICE WILL USE THE REQUESTED PROPERTY TO STORE EQUIPMENT, MATERIALS AND SUPPLIES USED DURING DISASTER RELATED EMERGENCIES AND SEARCH AND RESCUE OPERATIONS.</t>
  </si>
  <si>
    <t>SAINT LUCIE COUNTY SHERIFF OFFICE (2YTKLY)</t>
  </si>
  <si>
    <t>2YTKLY52419443</t>
  </si>
  <si>
    <t>BALANCE WHEEL,ROTOR</t>
  </si>
  <si>
    <t>FOR USE IN OUR OH-58 AIRCRAFT THAT WERE OBTAINED THROUGH THE 1033 PROGRAM AND ARE USED FOR LAW ENFORCEMENT AND COUNTER DRUG OPERATIONS.</t>
  </si>
  <si>
    <t>2YTKLY51716504</t>
  </si>
  <si>
    <t>BEARING, ROLLER, NEEDLE</t>
  </si>
  <si>
    <t>REQUIRED TO MAINTAIN OUR OH-58 HELICOPTERS THAT WERE ACQUIRED THROUGH THE 1033 PROGRAM AND ARE USED IN LAW ENFORCEMENT AND COUNTER DRUG OPERATIONS</t>
  </si>
  <si>
    <t>2YTKLY51786636</t>
  </si>
  <si>
    <t>DSPRINT05</t>
  </si>
  <si>
    <t>PRINTER</t>
  </si>
  <si>
    <t>FOR USE BY LAW ENFORCEMENT AGENCY</t>
  </si>
  <si>
    <t>VOLUSIA SHERIFF OFFICE (2YTM30)</t>
  </si>
  <si>
    <t>2YTM3052411124</t>
  </si>
  <si>
    <t>TANK,WATER,TRLR MTD</t>
  </si>
  <si>
    <t>THIS WATER TANK WILL BE USED BY THE VOLUSIA SHERIFF'S OFFICE TO BRING DRINKING WATER FOR DEPUTIES WHEN THEY DEPLOY TO AREAS IMPACTED BY NATURAL DISASTERS SUCH AS HURRICANES AND TORNADOS.</t>
  </si>
  <si>
    <t>2YTM3052623336</t>
  </si>
  <si>
    <t>TRAILER,TANK</t>
  </si>
  <si>
    <t>GA</t>
  </si>
  <si>
    <t>ALAPAHA POLICE DEPT (2YTAD4)</t>
  </si>
  <si>
    <t>2YTAD451716212</t>
  </si>
  <si>
    <t>COMPUTER LAPTOP</t>
  </si>
  <si>
    <t>REQUESTING TWO COMPUTERS, TO BE UTILIZED BY POLICE OFFICERS IN THEIR DEPARTMENT PATROL CARS TO ACCESS MOBILE INFORMATION, AND PROGRAMS TO BE MORE EFFICIENT AT COMPLETING COMPUTER RELATED TASKS</t>
  </si>
  <si>
    <t>CLAYTON COUNTY POLICE DEPARTMENT (2YTCHK)</t>
  </si>
  <si>
    <t>2YTCHK51786860</t>
  </si>
  <si>
    <t>DSWHSETRA</t>
  </si>
  <si>
    <t>WAREHOUSE TRUCKS AND TRACTORS, SELF-PROP</t>
  </si>
  <si>
    <t>THE CCPD IS REQUESTING THIS MAINT LIFT. IT WILL BE USED IN BY CCPD FOR LAW ENFORCEMENT.  THE MAINT LIFT WILL BE USED BY OUR AVN UNIT. THE MAINT LIFT WILL BE USED DAILY FOR PRE AND POST FLIGHT OPERATIONS.  IT IS DESPERATELY NEEDED TO SAFELY CONDUCT INSPECTIONS. DUE TO BUDGET, PURCHASE OF A MAINT LIFT HAS NOT BEEN FEASIBLE. THIS MAINT LIFT WILL ENABLE THE CCPD AVN TO CONTINUE SAFE AND CRITICAL LE OPERATIONS.</t>
  </si>
  <si>
    <t>2YTCHK52200055</t>
  </si>
  <si>
    <t>VALVE,BUTTERFLY</t>
  </si>
  <si>
    <t>CLAYTON COUNTY POLICE DEPARTMENT REQUIRES THIS PART IN ORDER TO OPERATE ITS HEMTT AV FUEL TANKER TRUCK.  THIS PART WAS BROKEN ON THE VEHICLE THE CCPD RECENTLY RECEIVED FROM LESO IN MAY 2025.  THE CCPD HAS NOT BEEN ABLE TO OBTAIN THIS PART DUE TO BUDGET, REPAIR AND REPLACEMENT HAS NOT BEEN FEASIBLE..  THIS PART WILL ENABLE THE PD TO USE THE TANKER TRUCK EVERY DAY TO SUPPORT POLICE HELICOPTER OPERATIONS.</t>
  </si>
  <si>
    <t>2YTCHK52209989</t>
  </si>
  <si>
    <t>CLAYTON COUNTY POLICE DEPARTMENT REQUIRES THIS PART IN ORDER TO OPERATE ITS HEMTT AV FUEL TANKER TRUCK.  THIS PART WAS BROKEN ON THE VEHICLE THE CCPD RECENTLY RECEIVED FROM LESO IN MAY 2025.  THE CCPD HAS NOT BEEN ABLE TO OBTAIN THIS PART DUE TO BUDGET, REPAIR AND REPLACEMENT HAS NOT BEEN FEASIBLE. THIS PART WILL ENABLE THE PD TO USE THE TANKER TRUCK EVERY DAY TO SUPPORT POLICE HELICOPTER OPERATIONS.</t>
  </si>
  <si>
    <t>2YTCHK51786920</t>
  </si>
  <si>
    <t>THE CCPD IS REQUESTING THE TRANSFER OF THE MEDICAL LITTERS SO THAT SWAT OFFICERS CAN TRANSPORT INJURED VICTIMS TO THE CCPD HELICOPTER OR POLICE VEHICLES FOR EVACUATION.  LITTERS WILL BE USED FOR LAW ENFORCEMENT OPERATIONS AND TRAINING TO IMPROVE SAFETY OF VICTIMS.  CCPD DOES NOT CURRENTLY HAVE ANY LITTERS TO PROVIDE THIS FORM OF SAFETY TRANSPORT AND HAVE BEEN FACED WITH SITUATIONS REQUIRING LITTERS IN THE RECENT PAST.</t>
  </si>
  <si>
    <t>2YTCHK51786917</t>
  </si>
  <si>
    <t>THE CCPD IS REQUESTING THE TRANSFER OF SLEEPING BAGS TO BE USED BY OFFICERS IN THE EVENT OF HAVING TO REMAIN OVERNIGHT AT THE PD HQ FOR EMERGENCY RESPONSE OPERATIONS. CURRENTLY THE DEPARTMENT DOES NOT HAVE ANYTHING TO PROVIDE TO ITS OFFICERS FOR WHEN 24 HR OPERATIONS ARE CONDUCTED. SLEEPING BAGS WILL ENABLE THE OFFICERS TO PROVIDE ENFORCEMENT OPERATIONS IN AUSTERE ENVIRONMENTS LIKE ENCOUNTERED BY OFFICERS LAST WINTER WHEN THEY HAD TO REMAIN OVERNIGHT AT THE PD WITH LIMITED HEAT.</t>
  </si>
  <si>
    <t>2YTCHK51786918</t>
  </si>
  <si>
    <t>2YTCHK51786911</t>
  </si>
  <si>
    <t>2YTCHK51786923</t>
  </si>
  <si>
    <t>THE CCPD IS REQUESTING THE TRANSFER OF DUFFEL BAG TO STORE SLEEPING BAGS.  BAGS WILL BE USED BY OFFICERS IN THE EVENT OF HAVING TO REMAIN OVERNIGHT AT THE PD HQ FOR EMERGENCY RESPONSE OPERATIONS. THESE COMP BAGS WILL ENABLE OFFICERS TO STORE MORE EQUIPMENT TO SAVE SPACE FOR OTHER LAW ENFORCEMENT EQUIPMENT.</t>
  </si>
  <si>
    <t>2YTCHK51786922</t>
  </si>
  <si>
    <t>STUFF SACK,COMPRESS</t>
  </si>
  <si>
    <t>THE CCPD IS REQUESTING THE TRANSFER OF COMPRESSION BAG TO STORE SLEEPING BAGS.  BAGS WILL BE USED BY OFFICERS IN THE EVENT OF HAVING TO REMAIN OVERNIGHT AT THE PD HQ FOR EMERGENCY RESPONSE OPERATIONS. THESE COMP BAGS WILL ENABLE OFFICERS TO STORE MORE EQUIPMENT TO SAVE SPACE FOR OTHER LAW ENFORCEMENT EQUIPMENT.</t>
  </si>
  <si>
    <t>2YTCHK51786921</t>
  </si>
  <si>
    <t>COFFEE COUNTY SHERIFF OFFICE (2YTCMM)</t>
  </si>
  <si>
    <t>2YTCMM52340270</t>
  </si>
  <si>
    <t>CHARGER,BATTERY</t>
  </si>
  <si>
    <t>DEPUTIES AT THE COFFEE COUNTY SHERIFF'S OFFICE WILL USE THE BATTERY CHARGERS TO CHARGE EMERGENCY VEHICLES THAT RUN ON A 24-VOLT SYSTEM. CURRENTLY, DEPUTIES TAKE EACH INDIVIDUAL BATTERY OUT TO CHARGE. WITH THE CHARGER DEPUTIES WOULD HAVE THE PEACE OF MIND KNOWING THE EMERGENCY VEHICLES ARE ALWAYS CHARGED UP AND READY TO BE USED IN CASE OF EMERGENCIES.</t>
  </si>
  <si>
    <t>FORSYTH COUNTY SHERIFF OFFICE (2YTD7D)</t>
  </si>
  <si>
    <t>2YTD7D52622488</t>
  </si>
  <si>
    <t>ITEMS WILL BE USED FOR LAW ENFORCEMENT PURPOSES ONLY. ITEMS WILL BE USED TO AID OFFICERS IN THE FIELD TO STAVE OFF MASSIVE BLEEDING TO TRAUMATIC INJURES ENCOUNTERED DURING TACTICAL FIELD OPERATIONS OR RESPONDING TO ACCIDENTS.</t>
  </si>
  <si>
    <t>2YTD7D52552489</t>
  </si>
  <si>
    <t>MANIKIN,TRAUMA AND</t>
  </si>
  <si>
    <t>ITEM WILL BE USED FOR LAW ENFORCEMENT PURPOSES ONLY. ITEM WILL BE USED TO AID IN TRAINING OFFICERS IN TACTICAL TRAUMATIC INJURY SCENARIOS AND OFFICER DOWN SCENARIOS</t>
  </si>
  <si>
    <t>2YTD7D52540658</t>
  </si>
  <si>
    <t>DSBAG0001</t>
  </si>
  <si>
    <t>BAGS AND SACKS</t>
  </si>
  <si>
    <t>ITEMS WILL BE USED BY THE FORSYTH CO. SHERIFF'S OFFICE FOR LAW ENFORCEMENT PURPOSES ONLY. ITEMS WILL BE USED BY AGENCY SWAT MEMBERS TO AID IN TACTICAL EQUIPMENT STORAGE TO ALLOW READY ACCESS TO TACTICAL GEAR WHILE RESPONDING TO CALLS FOR SERVICE.</t>
  </si>
  <si>
    <t>GA DEPT OF PUBLIC SAFETY (2YTEEW)</t>
  </si>
  <si>
    <t>2YTEEW51927590</t>
  </si>
  <si>
    <t>DSAIRGUN1</t>
  </si>
  <si>
    <t>GUN/RIFLE, AIR</t>
  </si>
  <si>
    <t>THESE LAUNCHERS WOULD BE USED FOR LAW ENFORCEMENT OPERATIONS TO INCLUDE THE APPREHENSION OF WANTED SUSPECTS AND COUNTER DRUG OPERATIONS BUT WOULD ALLOW FOR A LESS LETHAL OPTION. 21</t>
  </si>
  <si>
    <t>2YTEEW52279776</t>
  </si>
  <si>
    <t>GEORGIA DPS AVIATION UNIT WOULD USE TO SUPPORT LAW ENFORCEMENT OPERATIONS BY MOVING HELICOPTERS AROUND THE FLIGHT OPERATIONS AREA. 21</t>
  </si>
  <si>
    <t>2YTEEW52279777</t>
  </si>
  <si>
    <t>DIVERS,NAVIG BOARD</t>
  </si>
  <si>
    <t>GEORGIA DPS DIVE TEAM WOULD USE FOR UNDERWATER DIVE OPERATIONS WHEN SUPPORTING LAW ENFORCEMENT ACTIVITIES SUCH AS HOMICIDE INVESTIGATIONS, EVIDENCE SEARCHES AND COUNTER DRUG OPERATIONS. 21</t>
  </si>
  <si>
    <t>HAHIRA PD (2YTEZF)</t>
  </si>
  <si>
    <t>2YTEZF52481633</t>
  </si>
  <si>
    <t>TO BE ISSUED TO LAW ENFORCEMENT OFFICERS AS A LESS LETHAL FORCE OPTION</t>
  </si>
  <si>
    <t>2YTEZF52481630</t>
  </si>
  <si>
    <t>TO BE ISSUED TO LAW ENFORCEMENT OFFICERS FOR DAILY CARRY AS A LESS LETHAL FORCE OPTION</t>
  </si>
  <si>
    <t>2YTEZF51786720</t>
  </si>
  <si>
    <t>SAFETY GLASSES,REVI</t>
  </si>
  <si>
    <t>TO BE ISSUED TO LAW ENFORCEMENT OFFICERS AND USED AS SAFETY EYE WEAR DURING TRAINING EXERCISES.</t>
  </si>
  <si>
    <t>2YTEZF51716209</t>
  </si>
  <si>
    <t>WILL BE ISSUED TO LAW ENFORCEMENT PERSONNEL FOR USE IN THE FIELD IN THE EVENT OF INJURY.</t>
  </si>
  <si>
    <t>2YTEZF52279803</t>
  </si>
  <si>
    <t>DSOVERHEA</t>
  </si>
  <si>
    <t>OVERHEAD PROJECTOR</t>
  </si>
  <si>
    <t>TO BE USED IN LAW ENFORCEMENT TRAINING ROOMS TO DISPLAY EDUCATIONAL MATERIALS</t>
  </si>
  <si>
    <t>LEE COUNTY SHERIFF DEPT (2YTGMZ)</t>
  </si>
  <si>
    <t>2YTGMZ51998018</t>
  </si>
  <si>
    <t>SOCKET SET,SOCKET WRENCH</t>
  </si>
  <si>
    <t>FOR DEPUTIES TO KEEP ON HMMWVS TO PERFORM REPAIRS AND MAINTENANCE IN THE FIELD WHEN PROBLEMS ARISE DURING DISASTERS BOTH MANMADE AND NATURAL.  WILL PROMOTE SAFER ENVIRONMENT FOR DEPUTIES BY KEEPING VEHICLES RUNNING PROPERLY, COULD BE USED ON OTHER LAW ENFORCEMENT VEHICLES AS WELL</t>
  </si>
  <si>
    <t>2YTGMZ51998017</t>
  </si>
  <si>
    <t>2YTGMZ52138813</t>
  </si>
  <si>
    <t>DEPUTIES WILL USE THESE ON THE HMMVEES AND OTHER LAW ENFORCEMENT VEHICLES AND EQUIPMENT TO MAKE REPAIRS AND DO MAINTENANCE IN THE FIELD TO KEEP EVERYTHING IN PROPER WORKING ORDER WHICH WILL KEEP THE PUBLIC AND DEPUTIES SAFE.</t>
  </si>
  <si>
    <t>2YTGMZ52410853</t>
  </si>
  <si>
    <t>GENERATOR SET,DIESE</t>
  </si>
  <si>
    <t>USE TO PROVIDE POWER FOR DEPUTIES AND OTHER LAW ENFORCEMENT AT VARIOUS SHERIFFS OFFICE BUILDINGS, SUBSTATIONS, AND TRAINING FACILITIES IN THE COUNTY DURING POWER OUTAGES BOTH TEMPORARY AND LONGER THEN USUAL FROM REGULAR STORMS, NATURAL DISASTERS AND OTHER UNKNOWN REASONS.</t>
  </si>
  <si>
    <t>2YTGMZ51998015</t>
  </si>
  <si>
    <t>GENERATOR SET,DIESEL ENGINE,TRAILER MOUN</t>
  </si>
  <si>
    <t>WILL USE AT SHERIFFS OFFICE SUBSTATION AND TRAINING CENTER TO PROVIDE POWER FOR DEPUTIES AND OTHER LAW ENFORCEMENT OFFICERS DURING POWER OUTAGES SO THEY COMPLETE TASKS FOR THE PUBLIC AND OTHERS SAFELY AND WITHOUT DELAY</t>
  </si>
  <si>
    <t>2YTGMZ52340566</t>
  </si>
  <si>
    <t>DSFILECA0</t>
  </si>
  <si>
    <t>FILE CABINET</t>
  </si>
  <si>
    <t>FOR DEPUTIES TO USE FOR FILING REPORTS AND OTHER PAPERWORK THAT WILL BE USED TO PROSECUTE OFFENDERS.  FOR DEPUTIES TO STORE LAW ENFORCEMENT SUPPLIES THAT THEY NEED TO PERFORM THEIR DAILY DUTIES.</t>
  </si>
  <si>
    <t>2YTGMZ52340567</t>
  </si>
  <si>
    <t>DSCABINE5</t>
  </si>
  <si>
    <t>CABINET, OFFICE</t>
  </si>
  <si>
    <t>FOR DEPUTIES TO USE TO STORE EVIDENCE OR OTHER ITEMS THAT ARE COLLECTED FROM CRIME SCENES AND OTHER SCENES.  TO STORE ITEMS THAT NEED TO BE SECURED SO IT CAN NOT BE ACCESSED BY THE GENERAL PUBLIC.</t>
  </si>
  <si>
    <t>LESLIE PD (2YTG0U)</t>
  </si>
  <si>
    <t>2YTG0U51786624</t>
  </si>
  <si>
    <t>FORCED ENTRY AND RESCUE EQUIPMENT,MULTIP</t>
  </si>
  <si>
    <t>TO BE ISSUED TO POLICE PATROL TRUCK TO BE USED AT VEHICLE ACCIDENTS WHEN NEEDED AND ALSO FORCED ENTRY INTO RESIDENCES WHERE FORCED ENTRY IS REQUIRED.</t>
  </si>
  <si>
    <t>2YTG0U51857289</t>
  </si>
  <si>
    <t>TO BE ISSUED TO INDIVIDUAL OFFICERS AS A POLICE PATROL PIECE OF EQUIPMENT. OUR AGNECY CURRENTLY HAS ONE THAT WE HAVE TO PASS BETWEEN OFFICERS AS THEY COME ON SHIFT AND LEAVE SHIFT.</t>
  </si>
  <si>
    <t>MIDVILLE POLICE DEPT (2YTHQD)</t>
  </si>
  <si>
    <t>2YTHQD52552490</t>
  </si>
  <si>
    <t>WELDING MACHINE,ARC</t>
  </si>
  <si>
    <t>TO PROVIDE THE MIDVILLE POLICE DEPARTMENT WITH A WELDER TO PERFORM MAINTENANCE ON POLICE OWNED METALS, SUCH AS BRUSH GUARDS ON THE FRONT OF THE PATROL VEHICLE AND POLICE ON UTILITY TRAILER.</t>
  </si>
  <si>
    <t>MORVEN POLICE DEPT (2YTH34)</t>
  </si>
  <si>
    <t>2YTH3452068968</t>
  </si>
  <si>
    <t>THE POLICE DEPARTMENT REQUESTS A TRUCK TO TRANSPORT OFFICERS TO AND FROM TRAINING SESSIONS, ADDRESSING THE SHORTAGE OF DEPARTMENT VEHICLES. THIS ENHANCES OFFICER SAFETY BY ELIMINATING THE NEED TO USE PERSONAL VEHICLES, ENSURING SECURE AND RELIABLE TRANSPORT. THE TRUCK WILL BE USED EXCLUSIVELY BY OUR DEPARTMENT'S OFFICERS.</t>
  </si>
  <si>
    <t>2YTH3452138967</t>
  </si>
  <si>
    <t>TRUCK,CARRYALL</t>
  </si>
  <si>
    <t>THE POLICE DEPARTMENT REQUESTS A VAN TO TRANSPORT TRAFFIC CONES FOR MAJOR EVENTS AND CRASH SCENES, ENSURING EFFECTIVE TRAFFIC CONTROL. THIS ENHANCES OFFICER SAFETY BY REDUCING EXPOSURE TO HAZARDOUS ROADSIDE CONDITIONS. THE VAN WILL BE USED EXCLUSIVELY BY OUR DEPARTMENT'S OFFICERS.</t>
  </si>
  <si>
    <t>2YTH3452068976</t>
  </si>
  <si>
    <t>THE POLICE DEPARTMENT REQUESTS LAPTOP COMPUTERS FOR OFFICERS' OFFICES AND VEHICLES TO ACCESS AND MANAGE CRITICAL DATA, REPORTS, AND TRAINING MATERIALS ON-SITE. THIS ENHANCES OFFICER SAFETY BY ENSURING REAL-TIME ACCESS TO VITAL INFORMATION DURING OPERATIONS. THE LAPTOPS WILL BE USED EXCLUSIVELY BY OUR DEPARTMENT'S OFFICERS.</t>
  </si>
  <si>
    <t>2YTH3452138974</t>
  </si>
  <si>
    <t>THE POLICE DEPARTMENT REQUESTS A PRINTER FOR OFFICERS' OFFICES TO PRODUCE ESSENTIAL DOCUMENTS, REPORTS, AND TRAINING MATERIALS ON-SITE. THIS ENHANCES OFFICER SAFETY BY ENSURING TIMELY ACCESS TO CRITICAL INFORMATION DURING OPERATIONS. THE PRINTER WILL BE USED EXCLUSIVELY BY OUR DEPARTMENT'S OFFICERS.</t>
  </si>
  <si>
    <t>2YTH3451998064</t>
  </si>
  <si>
    <t>THIS COPIER, EXCLUSIVELY USED BY POLICE OFFICERS IN THE PATROL OFFICE, ENHANCES OUR DOCUMENT MANAGEMENT CAPABILITIES. IT WILL BE USED TO PRODUCE CASE FILES AND OFFICIAL POLICE DOCUMENT COPIES. IT ENSURES OPERATIONAL EFFICIENCY BY DELIVERING CLEAR, RELIABLE COPIES, MAINTAINING ACCURATE RECORDS DURING CRITICAL TASKS, MINIMIZING DELAYS, AND SUPPORTING OFFICERS WITH PROMPT DOCUMENT ACCESS</t>
  </si>
  <si>
    <t>OGLETHORPE COUNTY SHERIFF OFFICE (2YT1YR)</t>
  </si>
  <si>
    <t>2YT1YR52068445</t>
  </si>
  <si>
    <t>TRUCK WILL BE UTILIZED BY DRUG INVESTIGATOR TO CONDUCT SURVEILLANCE FOR DRUG CASES. WILL ALSO BE USED BY INVESTIGATOR TO TRANSPORT LARGE EVIDENCE ITEMS</t>
  </si>
  <si>
    <t>TATTNALL COUNTY SHERIFF'S OFFICE (2YTLP8)</t>
  </si>
  <si>
    <t>2YTLP852209482</t>
  </si>
  <si>
    <t>FOR DEPARTMENT USE ONLY, WILL BE USED TO REPLACE TIRES ON DEPARTMENT TRANSPORT TRUCK AND TRAILERS.</t>
  </si>
  <si>
    <t>2YTLP852209483</t>
  </si>
  <si>
    <t>FOR DEPARTMENT USE ON TRANSPORT TRUCK AND TRAILERS TO REPLACE OLDER TIRES.</t>
  </si>
  <si>
    <t>WEBSTER CSO (2YTNEX)</t>
  </si>
  <si>
    <t>2YTNEX51786882</t>
  </si>
  <si>
    <t>TO BE USED BY SHERIFF'S OFFICE STAFF BACK AND FORTH TO DIFFERENT COUNTY BUILDINGS, ALSO TRAFFIC CONTROL DURING PARADE</t>
  </si>
  <si>
    <t>WILLACOOCHEE PD (2YTNPQ)</t>
  </si>
  <si>
    <t>2YTNPQ52068325</t>
  </si>
  <si>
    <t>TRUCK TRACTOR</t>
  </si>
  <si>
    <t>THE WILLACOOCHEE POLICE DEPARTMENT IS IN NEED OF A TRUCK THAT WE CAN USE TO MOVE SUPPLIES AND EQUIPMENT AROUND. DURING HURRICANE HELEN WE STRUGGLE TO MOVE SUPPLIES AROUND DUE TO NOT HAVING THE PROPER EQUIPMENT.</t>
  </si>
  <si>
    <t>2YTNPQ52209258</t>
  </si>
  <si>
    <t>THE WILLACOOCHEE POLICE DEPARTMENT URGENTLY NEEDS A PICKUP TRUCK TO TURN INTO A PATROL VEHICLE TO TRANSPORT ESSENTIAL ITEMS FOR OUR OPERATIONS. DURING HURRICANE HELENE, WE ENCOUNTERED SIGNIFICANT CHALLENGES IN DELIVERING SUPPLIES, WHICH HINDERED OUR ABILITY TO RESPOND EFFECTIVELY TO EMERGENCIES AND SERVE THE COMMUNITY.</t>
  </si>
  <si>
    <t>2YTNPQ52209259</t>
  </si>
  <si>
    <t>2YTNPQ52209262</t>
  </si>
  <si>
    <t>2YTNPQ52209263</t>
  </si>
  <si>
    <t>2YTNPQ52481350</t>
  </si>
  <si>
    <t>THE WILLACOOCHEE POLICE DEPARTMENT NEEDS 4 TIRES TO REPLACE ON OUR HUMVEE, WHICH IS USED BY POLICE OFFICERS TO TRAVEL ON ROADS THAT CANNOT BE ACCESSED BY OUR REGULAR PATROL VEHICLES.</t>
  </si>
  <si>
    <t>2YTNPQ52068606</t>
  </si>
  <si>
    <t>THE WILLACOOCHEE POLICE DEPARTMENT URGENTLY REQUIRES A RELIABLE GENERATOR OR ELECTRICAL EQUIPMENT CAPABLE OF POWERING OUR FACILITY DURING ELECTRICAL OUTAGES. DURING HURRICANE HELENE, WE FACED SIGNIFICANT CHALLENGES AS WE WERE UNABLE TO SECURE ANY EQUIPMENT THAT WOULD ALLOW US TO MAINTAIN ESSENTIAL OPERATIONS AND ENSURE THE SAFETY OF OUR COMMUNITY.</t>
  </si>
  <si>
    <t>2YTNPQ51786873</t>
  </si>
  <si>
    <t>THE WILLACOOCHEE POLICE DEPARTMENT NEEDS A LIFT SO THAT OFFICERS CAN INSTALL SECURITY CAMERAS IN AREAS WHERE THEY CURRENTLY CANNOT DUE TO EQUIPMENT LIMITATIONS. THIS WOULD ENSURE A SAFER ENVIRONMENT FOR THE OFFICERS DEPLOYING THE CAMERAS.</t>
  </si>
  <si>
    <t>2YTNPQ52340459</t>
  </si>
  <si>
    <t>THE WILLACOOCHEE POLICE DEPARTMENT IS SEEKING A DURABLE UTILITY TRAILER TO ENHANCE ITS ABILITY TO TRANSPORT ESSENTIAL EQUIPMENT EFFICIENTLY AND SAFELY. THIS TRAILER WILL PLAY A CRUCIAL ROLE IN SUPPORTING THE DEPARTMENT'S OPERATIONS AND ENSURING A TIMELY RESPONSE TO COMMUNITY NEEDS.</t>
  </si>
  <si>
    <t>2YTNPQ52622773</t>
  </si>
  <si>
    <t>THE WILLACOOCHEE POLICE DEPARTMENT SEEKS A FAN TO CREATE A MORE COMFORTABLE WORKSHOP ENVIRONMENT, EMPOWERING US TO EFFECTIVELY WORK ON OUR EQUIPMENT AND SERVE OUR COMMUNITY WITH EXCELLENCE.</t>
  </si>
  <si>
    <t>2YTNPQ52139030</t>
  </si>
  <si>
    <t>POWER PLANT,ELECTRIC,TRAILER MOUNTED</t>
  </si>
  <si>
    <t>THE WILLACOOCHEE POLICE DEPARTMENT URGENTLY REQUIRES ELECTRICAL EQUIPMENT TO ENSURE RELIABLE POWER FOR OUR FACILITY DURING OUTAGES. DURING HURRICANE HELENE, WE FACED SIGNIFICANT CHALLENGES AS OUR BUILDING LOST POWER, WHICH HINDERED OUR ABILITY TO EFFECTIVELY RESPOND TO EMERGENCIES AND SERVE THE COMMUNITY.</t>
  </si>
  <si>
    <t>2YTNPQ52068478</t>
  </si>
  <si>
    <t>THE WILLACOOCHEE POLICE DEPARTMENT IS SEEKING A RELIABLE GENERATOR OR ESSENTIAL ELECTRICAL EQUIPMENT TO ENSURE UNINTERRUPTED POWER DURING STORMS AND EMERGENCIES. THIS EQUIPMENT IS CRUCIAL FOR MAINTAINING ESSENTIAL OPERATIONS, COMMUNICATION SYSTEMS, AND SAFETY MEASURES, ALLOWING OUR TEAM TO EFFECTIVELY RESPOND TO INCIDENTS AND SUPPORT THE COMMUNITY.</t>
  </si>
  <si>
    <t>2YTNPQ52068487</t>
  </si>
  <si>
    <t>THE WILLACOOCHEE POLICE DEPARTMENT IS SEEKING ASSISTANCE IN ACQUIRING GENERATORS OR ELECTRICAL EQUIPMENT TO ENSURE WE CAN MAINTAIN OPERATIONS DURING EMERGENCIES, SUCH AS SEVERE WEATHER EVENTS OR POWER OUTAGES.</t>
  </si>
  <si>
    <t>IA</t>
  </si>
  <si>
    <t>MONONA CSO (2YTHWR)</t>
  </si>
  <si>
    <t>2YTHWR51857145</t>
  </si>
  <si>
    <t>THE MONONA COUNTY SHERIFF'S OFFICE REQUIRES AN ARMORED VEHICLE TO ENHANCE DEPUTY SAFETY, RESPOND TO HIGH-RISK INCIDENTS, SUPPORT RURAL OPERATIONS, AND PROTECT THE PUBLIC DURING CRITICAL EVENTS.</t>
  </si>
  <si>
    <t>ID</t>
  </si>
  <si>
    <t>KOOTENAI CSO (2YTGAF)</t>
  </si>
  <si>
    <t>2YTGAF52551777</t>
  </si>
  <si>
    <t>RESCUE HOOK,SURVIVA</t>
  </si>
  <si>
    <t>THESE RESCUE HOOKS WOULD BE ISSUED TO AND USED BY PATROL DEPUTIES IN THEIR DAILY LAW ENFORCEMENT FUNCTIONS.</t>
  </si>
  <si>
    <t>2YTGAF52551776</t>
  </si>
  <si>
    <t>DSCHARGE1</t>
  </si>
  <si>
    <t>BATTERY CHARGER</t>
  </si>
  <si>
    <t>THESE CHARGERS WOULD BE USED TO CHARGE HMMWV'S THE SHERIFF'S OFFICE PREVIOUSLY RECEIVED FROM 1033.</t>
  </si>
  <si>
    <t>IL</t>
  </si>
  <si>
    <t>BRADLEY POLICE DEPT (2YTBGJ)</t>
  </si>
  <si>
    <t>2YTBGJ51575078</t>
  </si>
  <si>
    <t>DSTRAFFIC</t>
  </si>
  <si>
    <t>TRAFFIC AND TRANSIT SIGNAL SYSTEMS</t>
  </si>
  <si>
    <t>THE BRADLEY POLICE DEPARTMENT IS RESPONSIBLE FOR PATROLLING THE BUSIEST ROADS IN OUR COUNTY BEING THE COMMERCIAL HUB OF THE COUNTY.  WE RECENTLY BUILT A MASSIVE 16 FIELD TRAVEL BASEBALL FACILITY BRINGING IN UPWARDS TO 120 TEAM A WEEKEND.  WE ARE IN THE PROCESS OF BUILDING ONE OF THE LARGEST INDOOR WATERPARKS IN THE NATION AND CURRENTLY HOST CONCERT EVENTS.  OUR DAILY TRAFFIC FOR WORKERS AND ENTERTAINMENT FAR OUTWEIGHS OUR POPULATION.</t>
  </si>
  <si>
    <t>CHAMPAIGN POLICE DEPT (2YTB67)</t>
  </si>
  <si>
    <t>2YTB6751716945</t>
  </si>
  <si>
    <t>ADAPTER RAIL,WEAPON</t>
  </si>
  <si>
    <t>I AM REQUESTING THESE ITEMS FOR OFFICIAL LEA PURPOSES ON BEHALF OF THE CHAMPAIGN POLICE DEPARTMENT. I AM REQUESTING THESE ITEMS SO THEY CAN BE FITTED TO PREVIOUSLY AWARDED LESO RIFLES TO MODERNIZE THEM AND ALLOW THE ATTACHMENT OF ILLUMINATION DEVICES OR FLASHLIGHTS.</t>
  </si>
  <si>
    <t>2YTB6751786944</t>
  </si>
  <si>
    <t>I AM REQUESTING THESE ITEMS FOR OFFICIAL LEA PURPOSES ON BEHALF OF THE CHAMPAIGN POLICE DEPARTMENT. I AM REQUESTING THESE ITEMS SO THEY CAN BE USED FOR MISSING PERSON SEARCHES AS WELL AS USED DURING HIGH RISK NARCOTICS TRAFFICKING BASED SEARCH WARRANTS.</t>
  </si>
  <si>
    <t>DELAVAN POLICE DEPT (2YTC8P)</t>
  </si>
  <si>
    <t>2YTC8P51786729</t>
  </si>
  <si>
    <t>DSVAN0001</t>
  </si>
  <si>
    <t>VAN, COMMERCIAL</t>
  </si>
  <si>
    <t>A CARGO VAN WILL BE USED BY POLICE OFFICERS FOR TRANSPORTING EQUIPMENT, BARRICADES, EVIDENCE, AND SUPPLIES DURING PATROL, SPECIAL EVENTS, AND EMERGENCY INCIDENTS. IT SUPPORTS TACTICAL DEPLOYMENTS, MOBILE COMMAND SETUP, AND COMMUNITY POLICING NEEDS.</t>
  </si>
  <si>
    <t>2YTC8P51997940</t>
  </si>
  <si>
    <t>THE DELAVAN POLICE DEPARTMENT REQUESTS AIR CONDITIONING UNITS THROUGH LESO TO SUPPORT OUR MOBILE COMMAND TRAILER AND POLICE FACILITY. THESE UNITS ARE ESSENTIAL TO MAINTAIN SAFE WORKING CONDITIONS FOR OFFICERS, PROTECT CRITICAL ELECTRONIC EQUIPMENT, AND ENSURE OPERATIONAL READINESS DURING EMERGENCY RESPONSES AND EXTREME WEATHER. THIS REQUEST ENHANCES PUBLIC SAFETY WHILE REDUCING COSTS THROUGH LESO</t>
  </si>
  <si>
    <t>2YTC8P51786731</t>
  </si>
  <si>
    <t>DSLADDER2</t>
  </si>
  <si>
    <t>LADDER, SCAFFOLDING</t>
  </si>
  <si>
    <t>A SINGLE-PERSON LIFT WILL BE USED BY POLICE OFFICERS TO SAFELY AND EFFICIENTLY ACCESS ELEVATED SECURITY CAMERAS AND COMMUNICATION EQUIPMENT DURING MAINTENANCE, REPAIR, OR REPOSITIONING TASKS. THIS LIFT IMPROVES SAFETY, REDUCES INJURY RISK, AND ENSURES QUICK DEPLOYMENT FOR SURVEILLANCE READINESS, ESPECIALLY IN AREAS WITHOUT EASY LADDER ACCESS.</t>
  </si>
  <si>
    <t>2YTC8P51927863</t>
  </si>
  <si>
    <t>PERSISTENT SURVEILLANCE SYSTEM,GROUND</t>
  </si>
  <si>
    <t xml:space="preserve">TRAILER EQUIPPED WITH A TELESCOPING TOWER USED FOR SPECIAL EVENTS, SURVEILLANCE, AND EMERGENCY COMMUNICATIONS. PROVIDES ELEVATED CAMERA OR ANTENNA PLACEMENT TO SUPPORT PUBLIC SAFETY, SITUATIONAL AWARENESS, AND INTEROPERABILITY DURING INCIDENTS. DEPLOYABLE QUICKLY TO ENHANCE VISIBILITY OR RESTORE COMMS WHEN NEEDED.
</t>
  </si>
  <si>
    <t>2YTC8P51716262</t>
  </si>
  <si>
    <t xml:space="preserve">THE DELAVAN POLICE DEPARTMENT URGENTLY NEEDS A NEW GENERATOR TO REPLACE ITS OUTDATED 1977 BACKUP UNIT, WHICH HAS EXCEEDED ITS LIFE CYCLE. DUE TO FINANCIAL CONSTRAINTS, THE DEPARTMENT CANNOT AFFORD TO PURCHASE A NEW ONE. A RELIABLE GENERATOR IS CRITICAL TO MAINTAINING OPERATIONS DURING POWER FAILURES, ENSURING THE SAFETY AND SECURITY OF THE COMMUNITY.
</t>
  </si>
  <si>
    <t>2YTC8P51787148</t>
  </si>
  <si>
    <t>CRIME SCENE LIGHT WILL BE USED BY OFFICERS DURING EVIDENCE PROCESSING, BOTH IN THE FIELD AND IN LAB SETTINGS. THE LIGHT KIT ENABLES DETECTION OF BODILY FLUIDS, DYE STAINS, POWDERS, AND TRACE EVIDENCE USING LED TECHNOLOGY. THIS TOOL ENHANCES OUR ABILITY TO PRESERVE, LOCATE, AND PHOTOGRAPH FORENSIC EVIDENCE IN LOW-LIGHT OR CONTAMINATED SCENES. INCLUDES SAFETY GOGGLES AND CASE.</t>
  </si>
  <si>
    <t>2YTC8P52279857</t>
  </si>
  <si>
    <t>LCD PROJECTORS ARE USED BY THE DELAVAN POLICE DEPARTMENT TO TRAIN SWORN OFFICERS IN POLICIES, TACTICS, AND CRITICAL INCIDENT RESPONSE. TWO PROJECTORS WILL SUPPORT IN-HOUSE ROOM LOCATIONS, WHILE A THIRD MOBILE UNIT WILL BE USED ON-LOCATION FOR ACTIVE SHOOTER AND SCHOOL RESPONSE TRAINING. THESE PROJECTORS ENHANCE OFFICER PREPAREDNESS, SITUATIONAL AWARENESS, AND COMMUNITY SAFETY DURING HIGH-RISK SCENARIOS AND PUBLIC SAFETY EVENTS.</t>
  </si>
  <si>
    <t>2YTC8P51646156</t>
  </si>
  <si>
    <t>DSDSKTPCM</t>
  </si>
  <si>
    <t>DESKTOP COMPUTER</t>
  </si>
  <si>
    <t xml:space="preserve">POLICE OFFICERS RELY ON THESE DESKTOPS FOR INVESTIGATIONS, EMERGENCY RESPONSE PLANNING, AND TRAINING. THESE DEVICES PROVIDE ACCESS TO ESSENTIAL TOOLS, SOFTWARE, AND RESOURCES, ENABLING DATA ANALYSIS, STRATEGY DEVELOPMENT, AND IMPROVED READINESS FOR VARIOUS SCENARIOS. DESKTOPS ENHANCE COLLABORATION, ENSURE RELIABLE PERFORMANCE, AND SUPPORT CRITICAL OPERATIONS, BOOSTING EFFICIENCY AND PUBLIC SAFETY.
</t>
  </si>
  <si>
    <t>2YTC8P51646264</t>
  </si>
  <si>
    <t>2YTC8P52138728</t>
  </si>
  <si>
    <t>TENT,SYSTEM,MX TAN/TRAILER DRASH</t>
  </si>
  <si>
    <t>THE POLICE DEPARTMENT SEEK TENT WITH TRAILER THAT PROVIDES A RAPIDLY DEPLOYABLE, WEATHER-RESISTANT MOBILE COMMAND POST FOR EMERGENCIES, SEARCH OPERATIONS, TRAINING, AND COMMUNITY EVENTS. IDEAL FOR RURAL LAW ENFORCEMENT, IT SUPPORTS INCIDENT COMMAND, PERSONNEL SHELTER, AND MOBILE OPERATIONS. TRAILER ENSURES QUICK TRANSPORT AND SETUP, ENHANCING RESPONSE CAPABILITIES IN ALL-HAZARD SITUATIONS.</t>
  </si>
  <si>
    <t>DOJ/FBI CHICAGO (2YTMRF)</t>
  </si>
  <si>
    <t>2YTMRF52068342</t>
  </si>
  <si>
    <t>CLEANING TOOL,SIGHT</t>
  </si>
  <si>
    <t>FOR USE AT FBI CGRTF. I HAVE CONTACTED THE SITE AND CAN CONFIRMED THE CONDITION OF THE ITEMS. THEY ARE IN SUITABLE CONDITION FOR THE INTENDED PURPOSE.</t>
  </si>
  <si>
    <t>2YTMRF52068339</t>
  </si>
  <si>
    <t>JEFFERSON COUNTY SHERIFFS OFFICE (2YTFX9)</t>
  </si>
  <si>
    <t>2YTFX952059031</t>
  </si>
  <si>
    <t>MOUNTING LOCKING MECHANISM,GOGGLES,NIGHT</t>
  </si>
  <si>
    <t>THE JEFFERSON COUNTY SHERIFF'S OFFICE WOULD UTILIZE THESE ITEMS BY ISSUING IT TO PATROL DEPUTIES ASSIGNED TO THE TACTICAL TEAM. THESE ITEMS WOULD BE USED IN CONJUNCTION WITH THE CURRENT NIGHT VISION. THESE ITEMS WOULD ASSIST IN LOW LIGHT CONDITIONS FOR DEPUTIES TO KEEP SITUATIONAL AWARENESS AND PREVENT THEM FROM TRIPPING OVER OBJECTS IN LOW LIGHT CONDITIONS.</t>
  </si>
  <si>
    <t>KANE COUNTY SHERIFF OFFICE (2YTF3G)</t>
  </si>
  <si>
    <t>2YTF3G52411572</t>
  </si>
  <si>
    <t>MOTORIZED ELECTRIC CARTS, ELECTRIC VEHICLES, HAVE PROVEN TO BE VALUABLE EMISSION FREE TOOLS FOR THE KANE COUNTY SHERIFFS OFFICE.  WE WANT TO CONTINUE TO LOWER OUR CARBON FOOTPRINT AND USE EVEN MORE OF THESE VEHICLES FOR COMMUNITY OUTREACH EVENTS, AS EXPLOSIVE DETECTION RESPONSE UNITS FOR PARADES AND REDUCE VEHICLE EXPENSE MAINTENANCE OF THE KANE COUNTY SHERIFFS OFFICE CAMPUS.</t>
  </si>
  <si>
    <t>2YTF3G52411573</t>
  </si>
  <si>
    <t>2YTF3G52411574</t>
  </si>
  <si>
    <t>2YTF3G52411575</t>
  </si>
  <si>
    <t>2YTF3G51786976</t>
  </si>
  <si>
    <t>CARTS ARE NEEDED FOR THE KANE COUNTY SHERIFFS OFFICE AS CAMPUS MAINTENANCE VEHICLES.  THE ENCLOSED CABS MAKE THEM IDEALLY SUITED FOR THE NORTHERN ILLINOIS WEATHER.</t>
  </si>
  <si>
    <t>2YTF3G52411565</t>
  </si>
  <si>
    <t>2YTF3G52411576</t>
  </si>
  <si>
    <t>2YTF3G52411237</t>
  </si>
  <si>
    <t>THE KANE COUNTY SHERIFFS OFFICE PAYS THOUSANDS OF DOLLARS EVERY YEAR TO OUTSIDE CONTRACTORS TO REPAINT OUR PUBLIC SAFETY CAMPUS PARKING LOTS AND CURBING, ESPECIALLY AFTER WINTER PLOWING.  WITH THIS MACHINE WE COULD SAVE THAT MONEY BY HAVING OUR IN HOUSE MAINTENANCE STAFF PERFORM THAT WORK. WE WILL ALSO USE THIS MACHINE TO STRIP OUR EVASIVE DRIVERS COURSE AND OUR SPIKE STRIP COURSES FOR TRAINGS.</t>
  </si>
  <si>
    <t>MT OLIVE POLICE DEPT (2YT0L4)</t>
  </si>
  <si>
    <t>2YT0L452411241</t>
  </si>
  <si>
    <t>BARREL,CARBINE</t>
  </si>
  <si>
    <t>THE ACQUISITION OF RIFLES ENHANCES OFFICER AND PUBLIC SAFETY BY PROVIDING GREATER ACCURACY AND RESPONSE CAPABILITY DURING CRITICAL INCIDENTS, INCLUDING ACTIVE SHOOTER AND HIGH-RISK SITUATIONS. WITH PROPER TRAINING AND ACCOUNTABILITY, THEY ENSURE OFFICERS ARE BETTER EQUIPPED TO RESPOND EFFECTIVELY, PROTECT THE COMMUNITY, AND REDUCE POTENTIAL LOSS OF LIFE. THE MT. OLIVE POLICE DEPT. CURRENTLY EMPLOYS 4 FULL TIME OFFICER THEY ARE LOOKING TO EQUIP WITH THE NECESSARY EQUIPMENT TO PERFORM THEIR DUTIES</t>
  </si>
  <si>
    <t>NOKOMIS POLICE DEPARTMENT (2YT1MW)</t>
  </si>
  <si>
    <t>2YT1MW51928192</t>
  </si>
  <si>
    <t>TO BE USED BY THE NOKOMIS POLICE DEPARTMENT TO EQUIP OPTICS ONTO PATROL RIFLES THAT ARE ISSUED TO POLICE OFFICERS. ENHANCE PRECISION AND REDUCE COLLATERAL DAMAGE.</t>
  </si>
  <si>
    <t>2YT1MW52139062</t>
  </si>
  <si>
    <t>DSTHRMSIG</t>
  </si>
  <si>
    <t>THERMAL SIGHTS</t>
  </si>
  <si>
    <t>TO BE USED BY THE NOKOMIS POLICE DEPARTMENT FOR DESIGNATED MARKSMAN RIFLE DURING HIGH INTENSITY ISSUES.</t>
  </si>
  <si>
    <t>NORTHLAKE PD (2YTPK3)</t>
  </si>
  <si>
    <t>2YTPK352482052</t>
  </si>
  <si>
    <t>ILLUMINATOR,INFRARE</t>
  </si>
  <si>
    <t>THE NORTHLAKE POLICE DEPARTMENT HAS MULTIPLE OPERATORS ON THE WEST SUBURBAN SPECIAL RESPONSE TEAM.  WE DESPERATELY NEED THESE AS WE ARE ATTEMPTING TO ACQUIRE NIGHT VISION FOR THE TEAM.
WE ACCEPT THE ITEM IN THE CONDITION LISTED BY THE DLA LOCATION.</t>
  </si>
  <si>
    <t>2YTPK352482053</t>
  </si>
  <si>
    <t>2YTPK352482051</t>
  </si>
  <si>
    <t>2YTPK352482050</t>
  </si>
  <si>
    <t>2YTPK352482049</t>
  </si>
  <si>
    <t>2YTPK352482048</t>
  </si>
  <si>
    <t>2YTPK352482047</t>
  </si>
  <si>
    <t>2YTPK352481690</t>
  </si>
  <si>
    <t>THE NORTHLAKE POLICE DEPARTMENT HAS MULTIPLE OPERATORS ON THE WEST SUBURBAN SPECIAL RESPONSE TEAM.  WE NEED THIS TO WORK WITH THE NVG'S WE ARE SEEKING. 
WE ACCEPT THE ITEM IN ITS CURRENT CONDITION.</t>
  </si>
  <si>
    <t>2YTPK352411686</t>
  </si>
  <si>
    <t>IMAGE INTENSIFIER,NIGHT VISION</t>
  </si>
  <si>
    <t>THE NORTHLAKE POLICE DEPARTMENT CURRENTLY HAS MULTIPLE OPERATORS ON THE WEST SUBURBAN SPECIAL RESPONSE TEAM.  WE DO NOT HAVE ANY NIGHT VISION AND ARE IN DESPERATE NEED.  
DLA LOCATION LISTS THEM IN GOOD CONDITION AND REPAIRABLE, WE ACCEPT THEM IN THIS CONDITION.</t>
  </si>
  <si>
    <t>IN</t>
  </si>
  <si>
    <t>MUNCIE POLICE DEPT (2YTPA2)</t>
  </si>
  <si>
    <t>2YTPA251928083</t>
  </si>
  <si>
    <t>BINOCULAR,NIGHT VISION</t>
  </si>
  <si>
    <t>POLICE EMPLOY OVERT AND COVERT APPROACHES ON A SINGLE SCENE TO IDENTIFY OURSELVES AND PROVIDE COMMANDS TO THE SUSPECT WHILE SURREPTITIOUSLY STAGING A QUICK RESPONSE TEAM. NIGHT VISION ALLOWS THE COVERT TEAMS TO STAGE MORE STEALTHILY AND TO DETECT COMMON IR CAMERAS ON HOMES. SURVEILLANCE WILL ALSO USE IR LIGHT TO INDICATE THE TARGET HOUSE WHEN APPROACHING AT NIGHT. THE CONDITION CODE IS LOW BUT IT IS MUCH CHEAPER TO REPAIR UNITS THAN TO PURCHASE NEW, AS WE HAVE DONE WITH LESO OPTICS AND PEQS</t>
  </si>
  <si>
    <t>2YTPA251928084</t>
  </si>
  <si>
    <t>2YTPA251927958</t>
  </si>
  <si>
    <t>NIGHT VISION FOR OFFICERS. CONDITION VERIFIED AS REQUIRED.</t>
  </si>
  <si>
    <t>2YTPA251998108</t>
  </si>
  <si>
    <t>SIGHT,NIGHT VISION SNIPERSCOPE</t>
  </si>
  <si>
    <t>POLICE EMPLOY OVERT AND COVERT METHODS ON A SINGLE SCENE TO PROVIDE ID AND LOUD ORDERS WHILE ALSO STEALTHILY APPROACHING  POSITION THAT OFFERS TACTICAL ADVANTAGE. MAGNIFIED OPTICS AT WITH THE AID OF NIGHT VISION ALSO ALLOW DMRS TO SEE DEEPER INTO STRUCTURES DURING SURROUND-AND-CALL OUT SEARCH WARRANTS, REDUCING THE ABILITY OF SUSPECTS TO TAKE CONCEALED PRECISE FIRES ON OUR OVERT POSITIONS. THOUGH CODE H, WE CAN OFTEN GET THEM SERVICED COMMERCIALLY FOR MUCH LESS THAN BUYING THEM.</t>
  </si>
  <si>
    <t>2YTPA251928080</t>
  </si>
  <si>
    <t>2YTPA251928086</t>
  </si>
  <si>
    <t>2YTPA251928087</t>
  </si>
  <si>
    <t>2YTPA251928088</t>
  </si>
  <si>
    <t>2YTPA251928089</t>
  </si>
  <si>
    <t>2YTPA251928090</t>
  </si>
  <si>
    <t>2YTPA251928092</t>
  </si>
  <si>
    <t>2YTPA251928093</t>
  </si>
  <si>
    <t>2YTPA251928082</t>
  </si>
  <si>
    <t>2YTPA251928081</t>
  </si>
  <si>
    <t>2YTPA251927946</t>
  </si>
  <si>
    <t>PARKA,COLD WEATHER</t>
  </si>
  <si>
    <t>JACKETS FOR OUTERWEAR FOR POLICE OFFICERS.</t>
  </si>
  <si>
    <t>2YTPA251716449</t>
  </si>
  <si>
    <t>HOLSTER,PISTOL</t>
  </si>
  <si>
    <t>HOLSTERS FOR ISSUE AS WE TRANSITION TO RED DOT SYSTEMS.</t>
  </si>
  <si>
    <t>SCOTT COUNTY SHERIFF'S OFFICE (2YTKUZ)</t>
  </si>
  <si>
    <t>2YTKUZ51504768</t>
  </si>
  <si>
    <t>THE SCOTT COUNTY SHERIFF'S OFFICE CAN UTILIZE THIS ITEM FOR DEPUTIES TO MOW THE COUNTY PROPERTY THAT WE HAVE TO MAINTAIN.</t>
  </si>
  <si>
    <t>2YTKUZ51504771</t>
  </si>
  <si>
    <t>TRACTOR,WHEELED,INDUSTRIAL</t>
  </si>
  <si>
    <t>THE SCOTT COUNTY SHERIFF'S OFFICE CAN UTILIZE THIS ITEM TO MOW OUR COUNTY PROPERTY THAT WE MANAGE.</t>
  </si>
  <si>
    <t>KY</t>
  </si>
  <si>
    <t>FULTON POLICE DEPARTMENT (2YTQN1)</t>
  </si>
  <si>
    <t>2YTQN152270336</t>
  </si>
  <si>
    <t>DSMOBHOME</t>
  </si>
  <si>
    <t>MOBILE HOME</t>
  </si>
  <si>
    <t>THE FULTON POLICE DEPARTMENT WOULD REPURPOSE THE TRAILER TO BE USED AS A MOBILE COMMAND CENTER TO RESPOND TO EMERGENCY SITUATIONS AS WELL AS ASSIST OTHER AGENCIES IN ON-SITE INVESTIGATIONS.</t>
  </si>
  <si>
    <t>2YTQN152270338</t>
  </si>
  <si>
    <t>COMPUTER SYSTEM,DIGITAL</t>
  </si>
  <si>
    <t>FULTON POLICE DEPARTMENT WOULD USE THE COMPUTER IN A PATROL VEHICLE AS A MOBILE DISPATCH TERMINAL AS WELL AS FOR ISSUING REPORTS AND CITATIONS.</t>
  </si>
  <si>
    <t>2YTQN152270337</t>
  </si>
  <si>
    <t>MA</t>
  </si>
  <si>
    <t>WELLESLEY POLICE DEPT (2YTNFH)</t>
  </si>
  <si>
    <t>2YTNFH51928178</t>
  </si>
  <si>
    <t>GOGGLES,BALLISTIC</t>
  </si>
  <si>
    <t>GOGGLES REQUIRED TO PROTECT OFFICERS EYES DURING FIREARMS TRAINING AND EVENTS OR ACTIVITIES WHERE OBJECTS MAY BE THROWN AT OFFICERS.</t>
  </si>
  <si>
    <t>MD</t>
  </si>
  <si>
    <t>DOJ/FBI BALTIMORE (2YTRJ3)</t>
  </si>
  <si>
    <t>2YTRJ352068324</t>
  </si>
  <si>
    <t>LITTER,NONRIGID,POL</t>
  </si>
  <si>
    <t>ITEMS WILL BE USED FOR LEO PURPOSES ONLY. FBI BA IS REQUESTING POLELESS LITTERS TO PROVIDE EMERGENCY MEDICAL TRANSPORT TO FIELD INVESTIGATIVE AGENTS DURING TACTICAL OPERATIONS.</t>
  </si>
  <si>
    <t>2YTRJ352068323</t>
  </si>
  <si>
    <t>CAMERA SYSTEM,DIGIT</t>
  </si>
  <si>
    <t>ITEMS WILL BE USED FOR LEO PURPOSES ONLY. FBI BA IS REQUESTING DIGITAL CAMERA SYSTEMS TO UTILIZE DURING FIELD INVESTIGATIONS TO ASSIST IN THE COLLECTION OF EVIDENCE DURING SEARCH WARRANTS. CAMERAS WILL BE USED TO PHOTOGRAPH A WIDE ARRAY OF EVIDENCE DURING SEARCH WARRANTS ETC.</t>
  </si>
  <si>
    <t>MI</t>
  </si>
  <si>
    <t>ALPENA COUNTY SHERIFFS OFFICE (2YTAG3)</t>
  </si>
  <si>
    <t>2YTAG352410904</t>
  </si>
  <si>
    <t>DSATVGATO</t>
  </si>
  <si>
    <t>ALL TERRAIN VEHICLE, AG/BVUS</t>
  </si>
  <si>
    <t>ALPENA COUNTY SHERIFFS DEPARTMENT  WILL BE USED TO MOVE SUPPLIES.</t>
  </si>
  <si>
    <t>2YTAG352410903</t>
  </si>
  <si>
    <t>ALPENA COUNTY SHERIFFS DEPARTMENT  WILL BE USED TO MOVE SUPPLIES</t>
  </si>
  <si>
    <t>2YTAG352410745</t>
  </si>
  <si>
    <t>ALPENA COUNTY SHERIFF'S DEPARTMENT WOULD BE USED TO MOVE SUPPLIES AND PERSONNEL</t>
  </si>
  <si>
    <t>2YTAG352340487</t>
  </si>
  <si>
    <t>ALPENA COUNTY SHERIFF'S OFFICE, TO BE USED IN THE EVENT OF A POWER OUTAGE</t>
  </si>
  <si>
    <t>2YTAG352270626</t>
  </si>
  <si>
    <t>ALPENA COUNTY SHERIFFS DEPARTMENT  TO BE USED IN THE EVENT OF A POWER OUTAGE</t>
  </si>
  <si>
    <t>2YTAG352270093</t>
  </si>
  <si>
    <t>ALPENA COUNTY SHERIFF'S OFFICE, TO BE USED IN THE EVENT OF POWER OUTAGES</t>
  </si>
  <si>
    <t>2YTAG352190023</t>
  </si>
  <si>
    <t>ALPENA COUNTY SHERIFF'S DEPARTMENT TO BE USED FOR BACKUP POWER IN THE EVENT OF AN OUTAGE</t>
  </si>
  <si>
    <t>2YTAG352481495</t>
  </si>
  <si>
    <t>ALPENA COUNTY SHERIFFS DEPARTMENT  THIS GENERATOR WOULD BE USED TO PROVIDE POWER AT AN EMERGENCY SHELTER.</t>
  </si>
  <si>
    <t>2YTAG352340588</t>
  </si>
  <si>
    <t>ALPENA COUNTY SHERIFFS DEPARTMENT   TO BE USED FOR POWER OUTAGES</t>
  </si>
  <si>
    <t>BENTON HARBOR DEPT OF PUBLIC SAFETY (2YTA5D)</t>
  </si>
  <si>
    <t>2YTA5D50597198</t>
  </si>
  <si>
    <t>THE BENTON HARBOR DEPT. OF PUBLIC SAFETY WILL USE THESE DURING ARREST OPERATIONS, SEARCH WARRANTS, FUGITIVE RECOVERY OPERATIONS, TO TRANSPORT SPECIALTY UNITS AND EQUIPMENT INTO POSITION. THIS WILL ALSO BE USED TO ASSIST OTHER SURROUNDING AGENCIES FOR LIKE INCIDENTS AS WELL AS NARCOTICS ENFORCEMENT AND ACTIVE SHOOTER INCIDENTS IF THEY ARISE. I HAVE SPOKEN TO DLA DS RICHMOND ABOUT THIS ITEM ALREADY.</t>
  </si>
  <si>
    <t>2YTA5D51716252</t>
  </si>
  <si>
    <t>THE BENTON HARBOR DEPT. OF PUBLIC SAFETY WILL USE THESE DURING ARREST OPERATIONS, SEARCH WARRANTS, FUGITIVE RECOVERY OPERATIONS, AND INCIDENTS WHERE INDIVIDUALS FLEE FROM LAW ENFORCEMENT. THIS WILL ALSO BE USED TO ASSIST OTHER SURROUNDING AGENCIES FOR LIKE INCIDENTS AS WELL AS NARCOTICS ENFORCEMENT AND ACTIVE SHOOTER INCIDENTS IF THEY ARISE. THESE ARE BEING USED TO REPLACE NV OPTICS, DLA DS RILEY HAS BEEN CONTACTED ABOUT THIS ITEM.</t>
  </si>
  <si>
    <t>DHS/ICE ERO GRAND RAPIDS (2YTS09)</t>
  </si>
  <si>
    <t>2YTS0952209650</t>
  </si>
  <si>
    <t>USE FOR MEMBERS OF SRT DURING WINTER TRAINING AND DEPLOYMENT.</t>
  </si>
  <si>
    <t>2YTS0952209651</t>
  </si>
  <si>
    <t>2YTS0952209652</t>
  </si>
  <si>
    <t>2YTS0952209653</t>
  </si>
  <si>
    <t>2YTS0952209654</t>
  </si>
  <si>
    <t>2YTS095220KM01</t>
  </si>
  <si>
    <t>GENESEE COUNTY PARK RANGER DIV (2YTPEQ)</t>
  </si>
  <si>
    <t>2YTPEQ52279918</t>
  </si>
  <si>
    <t>THIS UNIT WILL BE USED BY THE PARK RANGERS TO TRANSPORT EQUIPMENT THROUGHOUT THE 11,000 ACRES OF PARK LANDS AND THE FLINT RIVER STATE PARK.  ONLY NEED ONE THAT IS AVAILABLE.</t>
  </si>
  <si>
    <t>2YTPEQ52279919</t>
  </si>
  <si>
    <t xml:space="preserve">THIS UNIT WILL BE USED BY THE PARK RANGERS TO TRANSPORT EQUIPMENT THROUGHOUT THE 11,000 ACRES OF PARK LANDS AND THE FLINT RIVER STATE PARK.  ONLY NEED ONE THAT IS AVAILABLE.
</t>
  </si>
  <si>
    <t>2YTPEQ52279920</t>
  </si>
  <si>
    <t>2YTPEQ52340319</t>
  </si>
  <si>
    <t>UNIT WILL BE USED BY THE GC PARK RANGERS FOR PATROL AND SURVEILLANCE OF THEIR 11,000 ACRES OF PARK LANDS.</t>
  </si>
  <si>
    <t>HURON CLINTON METRO AUTH POLICE (2YTRAL)</t>
  </si>
  <si>
    <t>2YTRAL52410797</t>
  </si>
  <si>
    <t>THE COMMAND TRAILER WILL BE DEPLOYED BY THE METROPARKS POLICE TO SUPPORT OUR SEARCH AND RESCUE OPERATIONS IN PARTNERSHIP WITH THE OAKLAND COUNTY SHERIFF'S DEPARTMENT. BY REPURPOSING THIS MILITARY SURPLUS ASSET, WE ARE ABLE TO MAXIMIZE ITS VALUE THROUGH MULTI-AGENCY USE, PROVIDING A CENTRALIZED COMMAND AND CONTROL HUB FOR LARGE-SCALE INCIDENTS. THE TRAILER OFFERS THE NECESSARY SPACE AND INFRASTRUCTURE TO SUPPORT ADVANCED TECHNOLOGY SYSTEMS AND FACILITATE COORDINATED RESPONSES ACROSS JURISDICTIONS</t>
  </si>
  <si>
    <t>2YTRAL52068561</t>
  </si>
  <si>
    <t>METROPARKS POLICE DEPARTMENT OFFICERS ASSIGNED TO THE OAKLAND COUNTY SEARCH AND RESCUE SAR TEAM WILL BE ISSUED HOOK KNIVES AS PART OF THEIR STANDARD EQUIPMENT WHEN ASSIGNED TO SAR OPERATIONS.</t>
  </si>
  <si>
    <t>IMLAY CITY POLICE DEPT (2YTFPW)</t>
  </si>
  <si>
    <t>2YTFPW52138809</t>
  </si>
  <si>
    <t>THE IMLAY CITY DEPARTMENT IS IN NEED OF A WORKING DIGITAL CAMERA FOR THE PATROL OFFICERS. THE CAMERA WOULD BE USED FOR INVESTIGATIONS AND EVIDENCE COLLECTION.</t>
  </si>
  <si>
    <t>LANSING POLICE DEPARTMENT (2YTPER)</t>
  </si>
  <si>
    <t>2YTPER52340788</t>
  </si>
  <si>
    <t>FOR USE BY ON DUTY LANSING POLICE DEPARTMENT OFFICERS IN CONJUNCTION WITH THE ALREADY ACQUISITIONED NIGHT VISION, ALLOWING THEM TO BE MOUNTED TO ISSUED HELMETS DURING LOW LIGHT OPERATIONS. CONTACT WITH DS HAS BEEN MADE TO VERIFY CONDITION</t>
  </si>
  <si>
    <t>2YTPER52068439</t>
  </si>
  <si>
    <t>MOUNT,VIEWER</t>
  </si>
  <si>
    <t>FOR USE BY ON DUTY OFFICERS OF THE LANSING POLICE DEPARTMENT TO MOUNT NIGHT VISION DEVICES TO IMPROVE FIREARM ACCURACY AND OFFICER VISION IN LOW-LIGHT ENVIRONMENTS. CONTACT HAS BEEN MADE WITH THE LOCATION TO VERIFY PROPERTY CONDITION.</t>
  </si>
  <si>
    <t>2YTPER51998531</t>
  </si>
  <si>
    <t>FOR USE BY ON DUTY OFFICERS OF THE LANSING POLICE DEPARTMENT TO INCREASE FIREARM ACCURACY AND OFFICER VISION IN LOW LIGHT ENVIRONMENTS.</t>
  </si>
  <si>
    <t>2YTPER52340795</t>
  </si>
  <si>
    <t>CARRIER,NON-BALLISTIC PROTECTIVE,ARMOR-C</t>
  </si>
  <si>
    <t>FOR USE BY LANSING POLICE TACTICAL OFFICERS TO CARRY  OUT RESCUE AND HIGH RISK OPERATIONS. CONTACT HAS BEEN MADE TO VERIFY CONDITION</t>
  </si>
  <si>
    <t>MASON COUNTY SHERIFF DEPT (2YTHD9)</t>
  </si>
  <si>
    <t>2YTHD952411726</t>
  </si>
  <si>
    <t>IF ACQUIRED, THESE UNITS WILL BE USED FOR SEARCH AND RESCUE OPERATIONS FOR THE MASON COUNTY SHERIFF'S OFFICE. THE UNIT CONDITIONS WERE VERIFIED WITH DS SUSQUEHANNA AND LENSES ARE INTACT.</t>
  </si>
  <si>
    <t>NORTON SHORES POLICE DEPARTMENT (2YTQYX)</t>
  </si>
  <si>
    <t>2YTQYX52138735</t>
  </si>
  <si>
    <t>FOR USE BY REQUESTING AGENCY. FOR LAW ENFORCEMENT PURPOSE, TO BE ASSIGNED TO SWAT. TO BE USED FOR NIGHT AND LOW LIGHT OPERATIONS. REQUESTOR CONFIRMS AND ACCEPTS CONDITION OF UNITS.</t>
  </si>
  <si>
    <t>2YTQYX52279765</t>
  </si>
  <si>
    <t>2YTQYX52410860</t>
  </si>
  <si>
    <t xml:space="preserve">FOR USE BY REQUESTING AGENCY. FOR LAW ENFORCEMENT PURPOSE, TO BE ASSIGNED TO SWAT. TO BE USED FOR NIGHT AND LOW LIGHT OPERATIONS. REQUESTOR CONFIRMS AND ACCEPTS CONDITION OF UNITS.
</t>
  </si>
  <si>
    <t>2YTQYX52279967</t>
  </si>
  <si>
    <t>2YTQYX52138725</t>
  </si>
  <si>
    <t>2YTQYX52138727</t>
  </si>
  <si>
    <t>2YTQYX52138731</t>
  </si>
  <si>
    <t>2YTQYX52138732</t>
  </si>
  <si>
    <t>2YTQYX52138733</t>
  </si>
  <si>
    <t>2YTQYX52138734</t>
  </si>
  <si>
    <t>OAKLAND COUNTY SHERIFF OFFICE (2YT1WK)</t>
  </si>
  <si>
    <t>2YT1WK52550750</t>
  </si>
  <si>
    <t>FOR USE BY ON DUTY OSD OFFICERS TO CONDUCT RECON OF CONFINED SPACE AND BUILDINGS WITH SUSPECTED EXPLOSIVES OR OTHER HAZARDOUS MATERIALS. IN ADDITION IT WILL BE USED WHEN RESPONDING TO BARRICADED GUNMAN INCIDENTS TO ASSIST SWAT IN SEARCHING A BUILDING BEFORE DEPLOYING PERSONNEL.</t>
  </si>
  <si>
    <t>2YT1WK52410790</t>
  </si>
  <si>
    <t>FOR USE BY ON DUTY OSD OFFICERS FOR CONDUCTING PATROLS IN RURAL AREAS OF THE COUNTY, COUNTY AND STATE PARKLAND AND TRAIL NETWORKS.</t>
  </si>
  <si>
    <t>2YT1WK52138679</t>
  </si>
  <si>
    <t>FOR USE BY ON DUTY OSD OFFICERS WHEN PATROLLING RURAL AREAS, STATE PARKLAND, AND COUNTY PARKS WHERE ACCESS TO TRADITIONAL MOTOR VEHICLES IS RESTRICTED OR NOT POSSIBLE.</t>
  </si>
  <si>
    <t>2YT1WK51786997</t>
  </si>
  <si>
    <t>DSFFEQUIP</t>
  </si>
  <si>
    <t>FIRE FIGHTING EQUIPMENT</t>
  </si>
  <si>
    <t>FOR USE BY ON DUTY OSD OFFICERS WHEN RESPONDING TO RESCUE SCENES. THESE ARE INTENDED TO PROVIDE CUT, ABRASION PROTECTION AND LIMITED CHEMICAL EXPOSURE PROTECTION WHEN OPERATING BREACHING EQUIPMENT SUCH AS SAWS, HYDRAULIC EXTRACTION TOOLS, AND TORCHES.</t>
  </si>
  <si>
    <t>2YT1WK51786996</t>
  </si>
  <si>
    <t>2YT1WK51434934</t>
  </si>
  <si>
    <t>FOR USE BY OAKLAND CSO ON DUTY OFFICER ASSIGNED TO THE SHERIFF'S DEPARTMENT SEARCH AND RESCUE TEAM WHEN RESPONDING TO TECHNICAL RESCUE INCIDENTS. THIS IS INTENDED TO PROVIDE DEPUTIES WITH BURN, ABRASION, AND BASIC CHEMICAL PROTECTION. CURRENTLY NONE OF THE DEPUTIES ASSIGNED TO THE TEAM HAVE THIS EQUIPMENT.</t>
  </si>
  <si>
    <t>2YT1WK51786690</t>
  </si>
  <si>
    <t>FOR USE BY ON DUTY OSD OFFICERS WHEN ON MARINE PATROL IN HAZARDOUS CONDITIONS, OR RESPONDING TO WATER RELATED INCIDENTS IN HAZARDOUS CONDITIONS. THIS WILL PROVIDE EXPOSURE PROTECTION TO THE OFFICERS.</t>
  </si>
  <si>
    <t>2YT1WK51786691</t>
  </si>
  <si>
    <t>2YT1WK51505037</t>
  </si>
  <si>
    <t>FOR USE BY OAKLAND CSO ON DUTY OFFICERS ASSIGNED TO THE SHERIFF'S SEARCH AND RESCUE TEAM WHEN RESPONDING TO TECHNICAL RESCUE INCIDENTS. THIS IS INTENDED TO PROVIDE DEPUTIES WITH IMPACT PROTECTION. CURRENTLY NONE OF THE ASSIGNED DEPUTIES ON THIS TEAM HAVE THIS EQUIPMENT.</t>
  </si>
  <si>
    <t>2YT1WK51504936</t>
  </si>
  <si>
    <t>2YT1WK51997984</t>
  </si>
  <si>
    <t>INTERFACE UNIT,COMMUNICATION EQUIPMENT</t>
  </si>
  <si>
    <t>FOR USE BY ON DUTY OSD OFFICERS ASSIGNED TO OPERATE FROM HELICOPTER AND HOVERCRAFT ASSETS. THIS WOULD ALLOW OFFICERS COMMUNICATIONS CAPABILITY AS WELL AS HEARING PROTECTION. CURRENTLY MULTIPLE OFFICERS ASSIGNED TO THESE ASSETS DO NOT HAVE FUNCTIONING COMMUNICATIONS CAPABLE HEARING PROTECTION.</t>
  </si>
  <si>
    <t>2YT1WK51857368</t>
  </si>
  <si>
    <t>FOR USE BY OAKLAND CSO ON DUTY OFFICERS OPERATING FROM HELICOPTER ASSETS, HOVERCRAFT, AND SWAT TEAM. THESE ARE TO PROVIDE BOTH HEARING PROTECTION AND ALLOW FOR RADIO COMMUNICATIONS. CURRENTLY 32 REMAINING DEPUTIES ON THESE TEAMS DO NOT HAVE COMMUNICATIONS CAPABLE HEARING PROTECTION.</t>
  </si>
  <si>
    <t>2YT1WK52481287</t>
  </si>
  <si>
    <t>FOR USE BY ON DUTY OSD OFFICERS FOR PROTECTING SENSITIVE EQUIPMENT, TO INCLUDE WEAPONS DURING TRANSPORT.</t>
  </si>
  <si>
    <t>OCEANA COUNTY SHERIFF DEPT (2YT1XS)</t>
  </si>
  <si>
    <t>2YT1XS52068577</t>
  </si>
  <si>
    <t>IF AWARDED THESE KNIVES THEY'D BE USED ON PATROL TO CUT SEAT BELTS DURING ACCIDENTS.</t>
  </si>
  <si>
    <t>2YT1XS52551787</t>
  </si>
  <si>
    <t>THESE UNITS WOULD BE USED TO MAINTAIN THE BATTERY SYSTEMS OF OUR DLA ACQUIRED HMMWV UNITS</t>
  </si>
  <si>
    <t>PLAINWELL DPS (2YTP4G)</t>
  </si>
  <si>
    <t>2YTP4G52270099</t>
  </si>
  <si>
    <t>CARRIER,HYDRATION</t>
  </si>
  <si>
    <t>TO BE USED BY OFFICERS WHILE TRAINING OUTSIDE IN HOT WEATHER.</t>
  </si>
  <si>
    <t>MN</t>
  </si>
  <si>
    <t>BURNSVILLE POLICE DEPT (2YTP27)</t>
  </si>
  <si>
    <t>2YTP2752481341</t>
  </si>
  <si>
    <t>VIEWER,NIGHT VISION</t>
  </si>
  <si>
    <t>OUR SWAT TEAM WILL USE THESE NIGHT VISION GOGGLES WHILE CONDUCTING TACTICAL LAW ENFORCEMENT OPERATIONS.  WE ARE AWARE THEY ARE CONDITION H.  THE SITE HAS PROVIDED PHOTOS AND WE ARE AWARE THERE IS SOME DAMAGE.  WE HAVE HAD SUCCESS REPAIRING THIS TYPE OF GOGGLE IN THE PAST AND WILL TAKE THEM AS THEY ARE.</t>
  </si>
  <si>
    <t>2YTP2751927525</t>
  </si>
  <si>
    <t>OUR SWAT TEAM USES THESE RED CHEM LIGHTS FOR MARKING HAZARDS IN TRAINING AND OPERATIONS.  OUR MISSION SET INCLUDES COUNTER DRUG SEARCH WARRANTS, COUNTER TERRORISM, AND OTHER TACTICAL LAW ENFORCEMENT OPERATIONS.</t>
  </si>
  <si>
    <t>2YTP2752410732</t>
  </si>
  <si>
    <t>ONE OUR SWAT TEAM OFFICERS WILL USE THESE WINTER JACKET DURING COLD WEATHER TACTICAL LAW ENFORCEMENT OPERATIONS.  THEIR MISSION SET INCLUDES COUNTER-DRUG SEARCH WARRANT OPERATIONS, COUNTER-TERRORISM, AND OTHER TACTICAL LAW ENFORCEMENT OPERATIONS.  WE ARE AWARE IT IS CONDITION H AND WILL TAKE IT AS IT IS.</t>
  </si>
  <si>
    <t>2YTP2752410726</t>
  </si>
  <si>
    <t>VEST,NON-BALLISTIC PROTECTIVE,ARMOR-CARR</t>
  </si>
  <si>
    <t>ONE OF OUR SWAT OFFICERS WILL USE THIS VEST FOR LOW VISIBILITY TACTICAL LAW ENFORCEMENT OPERATIONS, PRIMARILY VEHICLE INTERDICTION OPERATIONS TO APPREHEND HIGH RISK CRIMINAL SUSPECTS.  HE ALREADY HAS VELOCITY SYSTEM BALLISTIC INSERTS THAT ARE COMPATIBLE WITH THIS SPECIFIC CARRIER.</t>
  </si>
  <si>
    <t>2YTP2752410730</t>
  </si>
  <si>
    <t>2YTP2752410729</t>
  </si>
  <si>
    <t>TWO OF OUR SWAT OFFICERS WILL USE THESE VESTS FOR LOW VISIBILITY TACTICAL LAW ENFORCEMENT OPERATIONS, PRIMARILY VEHICLE INTERDICTION OPERATIONS TO APPREHEND HIGH RISK CRIMINAL SUSPECTS.  THEY ALREADY HAVE VELOCITY SYSTEM BALLISTIC INSERTS THAT ARE COMPATIBLE WITH THIS SPECIFIC CARRIER.</t>
  </si>
  <si>
    <t>2YTP2752410723</t>
  </si>
  <si>
    <t>ONE OF OUR SWAT OFFICERS WILL USE THIS VEST FOR LOW VISIBILITY TACTICAL LAW ENFORCEMENT OPERATIONS, PRIMARILY VEHICLE INTERDICTION OPERATIONS TO APPREHEND HIGH RISK CRIMINAL SUSPECTS.  HE ALREADY HAS SIZE MEDIUM VELOCITY SYSTEM BALLISTIC INSERTS THAT ARE COMPATIBLE WITH THIS SPECIFIC CARRIER.</t>
  </si>
  <si>
    <t>CRYSTAL POLICE DEPT (2YT0AA)</t>
  </si>
  <si>
    <t>2YT0AA52411179</t>
  </si>
  <si>
    <t>AGENCY IS MEMBER OF MULTIJURISDICTIONAL SWAT TEAM - SWAT TEAM WILL USE THIS THERMAL IMAGING DEVICE TO ASSIST THE COMMUNITY IN SUSPECT SEARCHES, AND SEARCHES FOR MISSING PERSONS IN LOW LIGHT ENVIRONMENTS.</t>
  </si>
  <si>
    <t>FRIDLEY POLICE DEPT (2YTEC8)</t>
  </si>
  <si>
    <t>2YTEC851998200</t>
  </si>
  <si>
    <t>MONITOR,PATIENT VIT</t>
  </si>
  <si>
    <t>FOR USE BY OUR POLICE OFFICER MEDICS TO CARE FOR THEIR FELLOW OFFICERS DURING MOBILE FIELD FORCE AND TACTICAL EVENTS AND TO PROVIDE BETTER CARE AND EVALUATION TO CITIZENS OF THE COMMUNITY.</t>
  </si>
  <si>
    <t>SHERBURNE COUNTY SHERIFF'S OFFICE (2YTK1W)</t>
  </si>
  <si>
    <t>2YTK1W52551043</t>
  </si>
  <si>
    <t>THE SHERBURNE COUNTY SHERIFF'S OFFICE IS REQEUSTING OPTICS FOR USE ON PATROL RIFLES AND OTHER LESS LETHAL DEVICES.  THE OPTICS ALLOW FOR QUICK TARGET IDENTIFICAITON AND ACQUISITION.  THIS INCREASES SAFETY AND EFFECTIVENESS.  OPTICS CONDITION HAS BEEN CONFIRMED AND THE AGENCY ACCEPTS THEM AS-IS.  OPTICS WILL BE REPAIRED BY THIS AGENCY.</t>
  </si>
  <si>
    <t>2YTK1W52411044</t>
  </si>
  <si>
    <t>DSCYCLES0</t>
  </si>
  <si>
    <t>MOTORCYCLES, MOTOR SCOOTERS, AND BICYCLE</t>
  </si>
  <si>
    <t>THE SHERBURNE COUNTY SHERIFF'S OFFICE IS REQUESTING ELECTRIC BICYCLES FOR USE BY PATROL OFFICERS IN PARK AREAS.  THE ELECTIRC BIKES WILL AID IN RESPONSE TO AREAS THAT RESTRICT MOTOR VEHICLES.  BIKES ACCEPTED AS-IS AND THE AGENCY WILL MAKE NECESSARY REPAIRS.</t>
  </si>
  <si>
    <t>MO</t>
  </si>
  <si>
    <t>CALLAWAY COUNTY SHERIFF OFFICE (2YTBU2)</t>
  </si>
  <si>
    <t>2YTBU251997995</t>
  </si>
  <si>
    <t>THE CALLAWAY COUNTY SHERIFF'S OFFICE IS THE CHIEF LAW ENFORCEMENT AND IS MISSOURI'S 7TH LARGEST COUNTY AT 847 SQUARE MILES. THE CALLAWAY COUNTY SHERIFF'S OFFICE SPECIAL RESPONSE TEAM CONSISTS OF CERTIFIED PEACE OFFICERS AND THESE PVS-15'S WOULD BE USED STRICTLY FOR INCIDENTS REQUIRING A SRT RESPONSE, ESPECIALLY AT NIGHT.  CALLAWAY COUNTY IS A PRIME TERRORIST TARGET AS THE ONLY COMMERCIAL NUCLEAR POWER PLANT IN MISSOURI</t>
  </si>
  <si>
    <t>DOJ/FBI KANSAS CITY (2YTMRV)</t>
  </si>
  <si>
    <t>2YTMRV51786818</t>
  </si>
  <si>
    <t>SIGHT,UNS,AN,PVS22</t>
  </si>
  <si>
    <t>I HAVE CONTACTED THE SITE AND CONFIRMED THE CONDITION. THE ITEMS ARE IN SUITABLE CONDITION FOR THE INTENDED PURPOSES IN KCFO.</t>
  </si>
  <si>
    <t>HOWELL COUNTY SHERIFF OFFICE (2YTFKX)</t>
  </si>
  <si>
    <t>2YTFKX51786598</t>
  </si>
  <si>
    <t>THE HOWELL COUNTY SHERIFF'S OFFICE IS A LAW ENFORCEMENT AGENCY. HCSO WILL USE THIS TRUCK AS A PR TOOL FOR OUR DARE DEPUTY. THIS VEHICLE WILL BE WRAPPED IN A DARE PROGRAM THEMED GRAPHIC AND WILL BE DRIVEN TO SCHOOLS WHEN THE DEPUTY IS ON SITE TEACHING THE PROGRAM AND AT COMMUNITY EVENTS. VEHICLE WILL ALSO BE UPFITTED TO RESPOND TO EMERGENCY SITUATIONS AS NEEDED.</t>
  </si>
  <si>
    <t>2YTFKX51645934</t>
  </si>
  <si>
    <t>THE HOWELL COUNTY SHERIFF'S OFFICE IS A LAW ENFORCEMENT AGENCY. HCSO WILL USE THIS TRUCK FOR THE SWAT COMMANDER. THIS TRUCK WILL BE STOCKED WITH TACTICAL GEAR, COMMUNICATIONS EQUIPMENT AND OTHER SUPPLIES AND STAGED FOR RAPID RESPONSE IN A LOCATION WITHIN THE 928 SQUARE MILES THAT MAKE UP HOWELL COUNTY. THE HEAVY SUSPENSION OF THIS TRUCK WILL ALSO ALLOW FOR TOWING TRAILERS WITH ADDITIONAL EQUIPMENT.</t>
  </si>
  <si>
    <t>2YTFKX52481321</t>
  </si>
  <si>
    <t>THE HOWELL COUNTY SHERIFF'S OFFICE IS A LAW ENFORCEMENT AGENCY THAT LACKS A MOBILE COMMAND CENTER. THE REQUESTED TRUCK WOULD FILL THIS CRITICAL GAP, SERVING AS A COMMAND HUB DURING CRISIS LIKE NATURAL DISASTERS, MISSING PERSONS, ACTIVE SHOOTERS, AND MORE. ITS DEPLOYMENT WOULD GREATLY ENHANCE HCSO'S CAPABILITIES AND BENEFIT HOWELL CO AND SURROUNDING AREAS. HOWELL COUNTY IS UNDER A FEDERAL DISASTER DECLARATION. THIS WOULD AID IN CONTINUED RESPONSE EFFORTS.??WE HAVE VIEWED PICTURES OF THE TRUCK.</t>
  </si>
  <si>
    <t>2YTFKX51434119</t>
  </si>
  <si>
    <t>THE HOWELL COUNTY SHERIFF'S OFFICE IS A LAW ENFORCEMENT AGENCY. THE REQUESTED VAN WOULD BE UTILIZED FOR AN UNDERCOVER SURVEILLANCE VEHICLE FOR A DEPUTY ASSIGNED TO A FUGITIVE APPREHENSION TASK FORCE. THIS VEHICLE WOULD ALLOW THE DEPUTY TO BLEND IN AND NOT STAND OUT AS THEY WOULD IN A TYPICAL POLICE VEHICLE.</t>
  </si>
  <si>
    <t>2YTFKX51293023</t>
  </si>
  <si>
    <t>THE HOWELL COUNTY SHERIFF'S OFFICE IS A LAW ENFORCEMENT AGENCY. THE REQUESTED DUMP TRUCK WOULD BE USED TO HAUL DEBRIS FROM ROADWAYS FROM 2 RECENT NATURAL DISASTERS. IN MARCH, HOWELL COUNTY WAS IMPACTED BY A EF-3 TORNADO AND IN APRIL A SIGNIFICANT FLOODING EVENT. THIS TRUCK WOULD ALSO BE UTILIZED IN DISASTER RESPONSE AND HIGH-WATER RESCUES IN THE FUTURE. THE DEPLOYMENT OF THIS TRUCK WOULD GREATLY ENHANCE HCSO'S CAPABILITIES AND BENEFIT NOT ONLY HOWELL COUNTY BUT ALSO SURROUNDING AREAS.</t>
  </si>
  <si>
    <t>2YTFKX51786596</t>
  </si>
  <si>
    <t>THE HOWELL COUNTY SHERIFF'S OFFICE IS A LAW ENFORCEMENT AGENCY. HCSO WILL USE THE REQUESTED TRUCK TO TRANSPORT DEBRIS REMOVAL EQUIPMENT. THIS TRUCK WOULD RESPOND TO A MULTITUDE OF DIFFERENT NATURAL AND MAN-MADE DISASTERS HAULING HEAVY EQUIPMENT AND SUPPLIES. THESE INCLUDE FLOOD AND STORM DEBRIS REMOVAL EQUIPMENT LIKE SKID STEERS UTILITY VEHICLES, AND GENERATORS. HOWELL COUNTY IS CURRENTLY UNDER A FEDERAL DISASTER DECLARATION THIS TRAILER WOULD AID IN OUR CONTINUED RESPONSE EFFORTS.</t>
  </si>
  <si>
    <t>2YTFKX51716101</t>
  </si>
  <si>
    <t>ALL TERRAIN VEHICLE WHEELED</t>
  </si>
  <si>
    <t>THE HOWELL COUNTY SHERIFF'S OFFICE IS A LAW ENFORCEMENT AGENCY. THIS VEHICLE WOULD FILL A NEED FOR OFF ROAD TRANSPORTATION DURING EMERGENCIES LIKE NATURAL DISASTERS, MISSING PERSONS CASES, FUGITIVE APPREHENSION, AND OTHER CRISES. HCSO PATROLS A 928 SQUARE MILE AREA INCLUDING OVER 50,000 ACRES OF US FORREST SERVICE LAND. THIS VEHICLE WOULD ENHANCE HCSO'S CAPABILITIES AND BENEFIT NOT ONLY HOWELL COUNTY BUT ALSO SURROUNDING AREAS RELYING ON HCSO FOR MUTUAL AID IN EMERGENCY RESPONSE.</t>
  </si>
  <si>
    <t>2YTFKX52209217</t>
  </si>
  <si>
    <t>EXCAVATOR,UTILITY,CRAWLER MOUNTED</t>
  </si>
  <si>
    <t>THE HOWELL COUNTY SHERIFF'S OFFICE IS A LAW ENFORCEMENT AGENCY. . THIS EXCAVATOR WILL BE USED TO, MOVE AND LOAD DEBRIS FROM ROADWAYS FROM 2 RECENT NATURAL DISASTERS A FLOOD AND A TORNADO. THIS EXCAVATOR WOULD ALSO BE UTILIZED IN DISASTER RESPONSE IN THE FUTURE AND AID IN ACCESSING BLOCKED ROADS, HOMES AND PERSONS IN NEED OF MEDICAL ATTENTION. EXCAVATOR WOULD ALSO BE USED TO AID IN CONSTRUCTION OF THE HCSO TRAINING FACILITY WHICH BENEFITS NUMEROUS LEAS IN THE REGION.</t>
  </si>
  <si>
    <t>2YTFKX51645593</t>
  </si>
  <si>
    <t>TRACTOR,WHEELED,WAREHOUSE</t>
  </si>
  <si>
    <t>THE HOWELL COUNTY SHERIFF'S OFFICE IS A LAW ENFORCEMENT AGENCY. THE REQUESTED DUMP TRUCK WOULD BE USED TO HAUL DEBRIS FROM ROADWAYS FROM 2 RECENT NATURAL DISASTERS. IN MARCH, HOWELL COUNTY WAS IMPACTED BY A EF-3 TORNADO AND IN APRIL A SIGNIFICANT FLOODING EVENT. THIS TRUCK WOULD ALSO BE UTILIZED IN DISASTER RESPONSE AND HIGH-WATER RESCUES IN THE FUTURE. HOWELL COUNTY IS CURRENTLY UNDER A FEDERAL DISASTER DECLARATION THIS TRAILER WOULD AID IN OUR CONTINUED RESPONSE EFFORTS.</t>
  </si>
  <si>
    <t>2YTFKX51645591</t>
  </si>
  <si>
    <t>TRUCK,LIFT,FORK</t>
  </si>
  <si>
    <t>THE HOWELL COUNTY SHERIFF'S OFFICE IS A LAW ENFORCEMENT AGENCY. THE REQUESTED LOADER WOULD REPLACE A PREVIOUSLY ACQUIRED INOPERABLE LOADER. THIS LOADER WILL BE USED TO HAUL, MOVE AND LOAD DEBRIS FROM ROADWAYS FROM 2 RECENT NATURAL DISASTERS. IN MARCH, HOWELL COUNTY WAS IMPACTED BY A EF-3 TORNADO AND IN APRIL A SIGNIFICANT FLOODING EVENT. THIS LOADER WOULD BE UTILIZED IN DISASTER RESPONSE IN THE FUTURE. HOWELL COUNTY IS CURRENTLY UNDER A FEDERAL DISASTER DECLARATION.</t>
  </si>
  <si>
    <t>2YTFKX51786736</t>
  </si>
  <si>
    <t>THE HOWELL COUNTY SHERIFF'S OFFICE IS A LAW ENFORCEMENT AGENCY. HCSO WILL UTILIZE THESE JACKS GENERAL MAINTENANCE, VEHICLE REPAIRS AND VEHICLE SEARCHES. THESE KITS WILL ALLOW DEPUTIES TO PERFORM NEEDED REPAIRS TO VEHICLES AND EQUIPMENT ENSURE THEY ARE READY FOR DUTY AND WILL OPERATE AS DESIGNED. A JACK WILL BE ISSUED TO EACH DEPUTY TO PLACE IN THEIR PATROL VEHICLE TO EXPEDIATE FLAT TIRE CHANGES.</t>
  </si>
  <si>
    <t>2YTFKX52138626</t>
  </si>
  <si>
    <t>THE HOWELL COUNTY SHERIFF'S OFFICE IS A LAW ENFORCEMENT AGENCY. HCSO WILL??USE THESE??CONTAINER STRUCTURE FOR TRAINING. THESE STRUCTURES WILL BE USED TO MIMIC REAL BUILDINGS AND WILL AID IN BUILDING SEARCH AND CLEARING EXERCISES. THE HOWELL COUNTY TRAINING FACILITY IS A REGIONAL FACILITY AND IS AVAILABLE TO A NUMBER OF LOCAL AND STATE LAW ENFORCEMENT AGENCIES TO USE FOR TRAINING.??</t>
  </si>
  <si>
    <t>2YTFKX51857100</t>
  </si>
  <si>
    <t>DSRADIO00</t>
  </si>
  <si>
    <t>RADIO, NON-AIRBORNE</t>
  </si>
  <si>
    <t xml:space="preserve">
THE HOWELL COUNTY SHERIFF'S OFFICE IS A LAW ENFORCEMENT AGENCY. THESE RADIOS WOULD FILL A NEED FOR COMMUNICATION DURING EMERGENCIES LIKE NATURAL DISASTERS, MISSING PERSONS CASES, FUGITIVE APPREHENSION, AND OTHER CRISES. HCSO PATROLS A 928 SQUARE MILE AREA INCLUDING OVER 50,000 ACRES OF US FORREST SERVICE LAND. THESE RADIOS WOULD ENHANCE HCSO'S CAPABILITIES AND BENEFIT NOT ONLY HOWELL COUNTY BUT ALSO SURROUNDING AREAS RELYING ON HCSO FOR MUTUAL AID IN EMERGENCY RESPONSE.</t>
  </si>
  <si>
    <t>2YTFKX51716088</t>
  </si>
  <si>
    <t>DSVIDEORE</t>
  </si>
  <si>
    <t>VIDEO RECORDING AND REPRODUCING EQUIPMEN</t>
  </si>
  <si>
    <t xml:space="preserve">
THE HOWELL COUNTY SHERIFF'S OFFICE IS A LAW ENFORCEMENT AGENCY. HCSO WILL USE THIS CAMERA SYSTEM TO MONITOR THE HCSO TRAINING FACILITY. THIS FACILITY IS IN A REMOTE AREA AND HAS EXPERIENCED VANDALISM IN PAST WEEKS.</t>
  </si>
  <si>
    <t>2YTFKX51787029</t>
  </si>
  <si>
    <t>THE HOWELL COUNTY SHERIFF'S OFFICE IS A LAW ENFORCEMENT AGENCY. HCSO WILL UTILIZE NIGHT VISION MOUNTS FOR EMERGENCY RESPONSE. NATURAL DISASTERS, MISSING PERSONS, MANHUNTS. CRIME SCENES AND OTHER EMERGENCY SITUATIONS AS THEY ARISE. THESE WILL BE USED WITH NIGHT VISION UNITS ALREADY ACQUIRED FROM LESO, BUT WE CANNOT USE DUE TO A LACK OF SPECIALIZED MOUNTS.</t>
  </si>
  <si>
    <t>2YTFKX51927668</t>
  </si>
  <si>
    <t>DSSPEAKE0</t>
  </si>
  <si>
    <t>SPEAKER, COMMUNICATIONS EQUIPMENT</t>
  </si>
  <si>
    <t>THE HOWELL COUNTY SHERIFF'S OFFICE IS A LAW ENFORCEMENT AGENCY. HCSO WILL UTILIZE THESE SPEAKERS ON A PATROL VEHICLE FOR EMERGENCY RESPONSE. NATURAL DISASTERS, MISSING PERSONS, MANHUNTS. CRIME SCENES AND OTHER EMERGENCY SITUATIONS AS THEY ARISE. THESE SPEAKERS WARN DRIVERS AND PEDESTRIANS OF AN APPROACHING EMERGENCY VEHICLE.</t>
  </si>
  <si>
    <t>2YTFKX52068573</t>
  </si>
  <si>
    <t>CABLE ASSEMBLY,POWE</t>
  </si>
  <si>
    <t>THE HOWELL COUNTY SHERIFF'S OFFICE IS A LAW ENFORCEMENT AGENCY. HCSO WILL USE THESE POWER CABLES TO JUMP START VEHICLES WITH 24 VOLT CHARGING SYSTEMS SUCH AS HUMVEES AND MRAP AND OTHER EQUIPMENT. THESE CABLES WILL BE PLACED IN EACH OUR LESO OBTAINED VEHICLES WITH 24 VOLT SYSTEMS TO ENSURE WE CAN JUMP START THESE WHEN THE NEED ARISES.</t>
  </si>
  <si>
    <t>2YTFKX51504439</t>
  </si>
  <si>
    <t>DSLIGHTFI</t>
  </si>
  <si>
    <t>ELECTRIC LIGHTING FIXTURES</t>
  </si>
  <si>
    <t>THE HOWELL COUNTY SHERIFF'S OFFICE IS A LAW ENFORCEMENT AGENCY. HCSO WILL USE THESE LIGHTS TO INCREASE LIGHTING AROUND THE HOWELL COUNTY JAIL. THESE LIGHTS WILL AID IN VISIBILITY FOR JAIL STAFF AND ALLOW THEM TO MONITOR FOR POTENTIAL ESCAPEES OR THOSE TRYING TO BREACH OUR FACILITY PERIMETER TO INTRODUCE WEAPONS OR CONTRABAND.</t>
  </si>
  <si>
    <t>2YTFKX51505464</t>
  </si>
  <si>
    <t>THE HOWELL COUNTY SHERIFF'S OFFICE IS A LAW ENFORCEMENT AGENCY. HCSO WILL THESE LIGHTS TO ADD ARTIFICIAL LIGHTING TO THE EXTERIOR OF SHERIFF'S OFFICE FACILITIES INCREASING VISIBILITY AND SECURITY.</t>
  </si>
  <si>
    <t>2YTFKX51857101</t>
  </si>
  <si>
    <t>DSSHIPCON</t>
  </si>
  <si>
    <t>SPECIALIZED SHIPPING AND STORAGE CONTAIN</t>
  </si>
  <si>
    <t>THE HOWELL COUNTY SHERIFF'S OFFICE IS A LAW ENFORCEMENT AGENCY. HCSO WILL USE THE REQUESTED CONTAINERS FOR SECURE AND DRY STORAGE OF PROPERTY AND RECORDS. THIS CONTAINER WILL PROTECT THESE ITEMS FROM THE ELEMENTS. THE HCSO BUILDING HAS BEEN OUTGROWN, AND INTERIOR STORAGE SPACE IS VERY LIMITED. THESE CONTAINERS WILL GREATLY INCREASE OUR SECURE STORAGE SPACE.</t>
  </si>
  <si>
    <t>2YTFKX51575235</t>
  </si>
  <si>
    <t>CLIMBER'S EQUIPMENT</t>
  </si>
  <si>
    <t>THE HOWELL COUNTY SHERIFF'S OFFICE IS A LAW ENFORCEMENT AGENCY. HCSO WILL USE THIS CLIMBING EQUIPMENT TO AID IN SEARCH AND RESCUE TASKS SUCH AS HIGH ANGLE, CONFINED SPACE AND WATER RECUES REQUIRING ROPE WORK. THIS EQUIPMENT WILL BE PLACED IN RESPONSE VEHICLES DESIGNATED FOR THE ABOVE TASKS.</t>
  </si>
  <si>
    <t>2YTFKX51575234</t>
  </si>
  <si>
    <t>JEFFERSON COUNTY SHERIFF'S OFFICE (2YTFXU)</t>
  </si>
  <si>
    <t>2YTFXU51925729</t>
  </si>
  <si>
    <t>INTENDED FOR USE WITH THE DEPARTMENT SWAT TEAM. WOULD BE USED TO CLEAR STRUCTURES AND VEHICLES TO ENHANCE OFFICER SAFETY. IT IS MEANT TO REPLACE OLD AND FAULTY EQUIPMENT. OUR AGENCY WAS RECENTLY AWARDED A SIMILAR ROBOT, HOWEVER IT DOES NOT FUNCTION AND WILL BE RETURNED.
AGENCY IS AWARE OF CONDITION AND WISHES TO PROCEED WITH REQUISITION</t>
  </si>
  <si>
    <t>MCDONALD COUNTY SHERIFF'S OFFICE (2YTHGS)</t>
  </si>
  <si>
    <t>2YTHGS5197KM30</t>
  </si>
  <si>
    <t>TRUCK,AMBULANCE</t>
  </si>
  <si>
    <t>2YTHGS5197KM31</t>
  </si>
  <si>
    <t>OREGON COUNTY SHERIFF OFFICE (2YT15P)</t>
  </si>
  <si>
    <t>2YT15P52209461</t>
  </si>
  <si>
    <t>DSSEDAN00</t>
  </si>
  <si>
    <t>SEDAN</t>
  </si>
  <si>
    <t>THE OREGON COUNTY SHERIFF'S OFFICE WILL USE THE VEHICLE TO TRANSPORT EQUIPMENT, SUPPLIES, AND PERSONNEL DURING DAY TO DAY AND EMERGENCY OPERATIONS IN RURAL OREGON COUNTY.</t>
  </si>
  <si>
    <t>2YT15P52209525</t>
  </si>
  <si>
    <t>THE OREGON COUNTY SHERIFF'S OFFICE WILL USE THIS TRUCK TO TRANSPORT SUPPLIES, EQUIPMENT, AND PERSONNEL DURING DAY TO DAY AND EMERGENCY OPERATIONS IN RURAL OREGON COUNTY MISSOURI.</t>
  </si>
  <si>
    <t>2YT15P52209527</t>
  </si>
  <si>
    <t>2YT15P52209530</t>
  </si>
  <si>
    <t>2YT15P52340686</t>
  </si>
  <si>
    <t>SEMITRAILER,LOW BED</t>
  </si>
  <si>
    <t>THE OREGON COUNTY SHERIFF'S OFFICE WILL USE THE TRAILER TO MOVE EQUIPMENT AND SUPPLIES TO FACILITATE EMERGENCY RESPONSE TO MAN MADE AND NATURAL DISASTERS IN RURAL OREGON COUNTY.</t>
  </si>
  <si>
    <t>2YT15P52209529</t>
  </si>
  <si>
    <t>TRACTOR,FULL TRACKED,LOW SPEED</t>
  </si>
  <si>
    <t>THE OREGON COUNTY SHERIFF'S OFFICE WILL USE THIS TRACTOR FOR MAINTENANCE AND CONSTRUCTION DURING DAY TO DAY AND EMERGENCY OPERATIONS IN RURAL OREGON COUNTY MISSOURI.</t>
  </si>
  <si>
    <t>2YT15P52209532</t>
  </si>
  <si>
    <t>THE OREGON COUNTY SHERIFF'S OFFICE WILL USE THE TOOLS FOR MAINTENANCE AND CONSTRUCTION DURING DAY TO DAY AND EMERGENCY OPERATIONS IN RURAL OREGON COUNTY.</t>
  </si>
  <si>
    <t>OSAGE COUNTY SHERIFF OFFICE (2YT16P)</t>
  </si>
  <si>
    <t>2YT16P52410883</t>
  </si>
  <si>
    <t>THE OSAGE COUNTY SHERIFF'S OFFICE WILL USE THIS RAPID SCANNER AND TRAILER TO SCAN ITEMS COMING INTO THE COURTHOUSE TO DETERMINE IF CONTRABAND IS COMING INTO A STERILE AREA. THIS WILL PROTECT THE COURT AND PUBLIC. THE TRAILER WILL BE PLACE INTO SERVICE IN OUR SEARCH AND RESCUE.</t>
  </si>
  <si>
    <t>2YT16P52411678</t>
  </si>
  <si>
    <t>THE OSAGE COUNTY SHERIFF'S OFFICE WILL USE THIS UTV IN THE SEARCH AND RESCUE OPERATIONS AND WILL UPDATE AND REPLACE THE OLDER EQUIPMENT WE CURRENTLY HAVE.</t>
  </si>
  <si>
    <t>2YT16P52209886</t>
  </si>
  <si>
    <t>THE OSAGE COUNTY SHERIFF'S OFFICE WILL USE THESE LIFE JACKETS IN THE DAILY OPERATIONS IN THE MARINE SERVICE DIVISION. THESE LIFE JACKETS ARE INDISPENSABLE IN SEARCH AND RESCUE AND LIFE SAFETY OPERATIONS OF LAW ENFORCEMENT.</t>
  </si>
  <si>
    <t>MT</t>
  </si>
  <si>
    <t>PETROLEUM COUNTY SHERIFFS OFFICE (2YTJK2)</t>
  </si>
  <si>
    <t>2YTJK25197KM32</t>
  </si>
  <si>
    <t>ROBOT,EXPLOSIVE ORDNANCE DISPOSAL</t>
  </si>
  <si>
    <t>NC</t>
  </si>
  <si>
    <t>ASHE CSO (2YTA0F)</t>
  </si>
  <si>
    <t>2YTA0F51997976</t>
  </si>
  <si>
    <t>THE ASHE COUNTY SHERIFF'S OFFICE REQUEST THIS ITEM FOR USE DURING SEARCH AND RESCUE OPERATIONS. THIS LIGHT WOULD BE USED TO LIGHT WOODED AREAS OF THE MOUNTAINS TO AID IN FINDING LOST PEOPLE.</t>
  </si>
  <si>
    <t>2YTA0F52139035</t>
  </si>
  <si>
    <t>THE ASHE COUNTY SHERIFF'S OFFICE REQUESTS THIS ITEM FOR COUNTER DRUG AND SEARCH AND RESCUE OPERATIONS. THESE CAMERAS WILL ALLOW US TO RECORD AND MONITOR FOOTAGE FROM OUR K9 UNITS.</t>
  </si>
  <si>
    <t>2YTA0F51927784</t>
  </si>
  <si>
    <t>TOUGHBOOK LAPTOP</t>
  </si>
  <si>
    <t>THE ASHE COUNTY SHERIFF'S OFFICE REQUESTS THIS ITEM FOR USE IN COUNTER-DRUG OPERATIONS. THESE LAPTOPS WOULD BE USED BY DEPUTIES TO WRITE POLICE REPORTS.</t>
  </si>
  <si>
    <t>2YTA0F52411556</t>
  </si>
  <si>
    <t>DSBAGASSY</t>
  </si>
  <si>
    <t>BAG ASSEMBLY</t>
  </si>
  <si>
    <t>THE ASHE COUNTY SHERIFF'S OFFICE REQUESTS THESE ITEMS FOR USE IN COUNTER-DRUG AND SEARCH AND RESCUE OPERATIONS. THESE BAGS WILL BE USED BY SWORN DEPUTIES TO KEEP TURNOUT GEAR LIKE UNIFORMS, EQUIPMENT AND COLD WEATHER GEAR IN IN THEIR PATROL CARS TO RESPOND TO MISSING PERSONS IN THE MOUNTAINS AND SEARCH WARRANTS.</t>
  </si>
  <si>
    <t>BERTIE CSO (2YTA6S)</t>
  </si>
  <si>
    <t>2YTA6S52340565</t>
  </si>
  <si>
    <t>BOAT,LANDING,INFLATABLE</t>
  </si>
  <si>
    <t>THIS ITEM WOULD BE UTILIZED BY THE BERTIE COUNTY SHERIFF'S OFFICE DURING HIGH WATER SEARCH AND RESCUE OPERATIONS.</t>
  </si>
  <si>
    <t>DOJ/FBI CHARLOTTE DIV (2YTQY1)</t>
  </si>
  <si>
    <t>2YTQY151857238</t>
  </si>
  <si>
    <t xml:space="preserve">FEDERAL SCREENER FOR DIVISION WITH 200 LAW ENFORCEMENT AGENTS TO INCLUDE 19 SWAT OPERATORS.  THESE ALLOW LAW ENFORCEMENT A COMBINATION OF VISIBLE AND IR LASERS IN A SMALL PLATFORM.  SWAT BUDGET IS LIMITED AND ARE COST PROHIBITIVE TO PURCHASE, THERE IS NO PLAN FOR REPLACEMENTS.   THE ONES CURRENTLY BEING UTILIZED WERE ALSO OBTAINED THROUGH DRMO.  I HAVE CONTACTED THE SITE AND ACCEPT THE CONDITION CODE OF THE ITEM.
</t>
  </si>
  <si>
    <t>2YTQY152411542</t>
  </si>
  <si>
    <t xml:space="preserve">I HAVE CONTACTED THE SITE AND CONFIRM AND ACCEPT THE CONDITION CODE OF THE ITEMS. FEDERAL SCREENER FOR DIVISION WITH 200 LAW ENFORCEMENT AGENTS TO INCLUDE 19 SWAT OPERATORS. MOST OPERATORS ARE USING SINGLE TUBE NVGS THAT ARE OUT OF WARRANTY. DUE TO A MAJORITY OF HIGH RISK OPERATIONS IN LOW LIGHT CONDITIONS IT IS CRITICAL TO HAVE BETTER EQUIPMENT FOR OFFICER SAFETY. THERE HAS BEEN NO FUNDING FOR NIGHT VISION OPTICS NOR HAS THERE BEEN FOR OVER 10 YEARS.
</t>
  </si>
  <si>
    <t>2YTQY152411474</t>
  </si>
  <si>
    <t>PAN AND TILT ASSEMBLY,THERMAL VIEWER</t>
  </si>
  <si>
    <t xml:space="preserve">FEDERAL SCREENER FOR DIVISION WITH 200 LAW ENFORCEMENT AGENTS TO INCLUDE 19 SWAT OPERATORS.  THERMAL USED FOR SURVEILLANCE, SUBJECT IDENTIFICATION, SEARCHES, MISSING CHILDREN.
</t>
  </si>
  <si>
    <t>2YTQY152552479</t>
  </si>
  <si>
    <t xml:space="preserve">FEDERAL SCREENER FOR DIVISION WITH 200 LAW ENFORCEMENT AGENTS TO INCLUDE 19 SWAT OPERATORS.  THESE WILL BE USED FOR SURVEILLANCE OPERATIONS AND EVIDENCE COLLECTION.  BUDGET IS LIMITED AND ARE COST PROHIBITIVE TO PURCHASE.  I HAVE CONTACTED THE SITE WHERE THE PROPERTY IS LOCATED AND CONFIRM AND ACCEPT CONDITION.
</t>
  </si>
  <si>
    <t>EDGECOMBE CSO (2YTDM7)</t>
  </si>
  <si>
    <t>2YTDM751787293</t>
  </si>
  <si>
    <t>EDGECOMBE COUNTY SHERIFFS OFFICE NEEDS THESE REFLEX SIGHTS FOR RIFLES THAT ARE USED DURING COUNTER DRUG TRAFFICKING OPERATIONS. I HAVE CONTACTED THE DLA CENTER THAT HAS THESE SIGHTS AND TOLD THEM WE WOULD ACCEPT IN THE CURRENT CONDITION.</t>
  </si>
  <si>
    <t>ERWIN PD (2YTDUF)</t>
  </si>
  <si>
    <t>2YTDUF52270028</t>
  </si>
  <si>
    <t>THE ERWIN POLICE DEPARTMENT NEEDS THIS EQUIPMENT FOR USE AT OUR FIRING RANGE. WE HAD A BATHROOM SHIPPING CONTAINER DONATED TO US. I HAVE PUT IN FOR GENERATORS TO POWER IT AND THIS TANK WOULD BE USED TO SUPPLY WATER TO THE UNIT. THANK YOU.</t>
  </si>
  <si>
    <t>2YTDUF52068367</t>
  </si>
  <si>
    <t>THE ERWIN POLICE DEPARTMENT NEEDS THIS EQUIPMENT FOR DISASTER-RELATED EMERGENCY RESPONSE AND PREPAREDNESS AND FOR SEARCH AND RESCUE OPERATIONS. THE INTENT IS TO BE ABLE TO TAKE ALL EQUIPMENT IN ONE VEHICLE. ERWIN PD DOES NOT HAVE A TRAILER OF ANY KIND AND WE HAVE TO MAKE SEVERAL TRIPS WITH VEHICLES TO MOVE EQUIPMENT. THANK YOU.</t>
  </si>
  <si>
    <t>2YTDUF52139497</t>
  </si>
  <si>
    <t>THE ERWIN POLICE DEPARTMENT NEEDS THIS EQUIPMENT FOR CUTTING AND CLEARING OUR FIRING RANGE, EMERGENCY PREPAREDNESS AREA, AND THE ROADS LEADING INTO THEM. WE WERE ABLE TO OBTAIN TWO BUSH CUTTERS FROM THIS PROGRAM AND WE WOULD USE THIS TRACTOR TO PULL THEM. WE WOULD ALSO USE IT TO BUILD BERMS ON OUR RANGE. IT COULD ALSO BE USED TO CLEAR ROADWAYS DURING SEVERE WEATHER CONDITIONS WHEN TREES MAY GO DOWN. THANK YOU.</t>
  </si>
  <si>
    <t>2YTDUF51928044</t>
  </si>
  <si>
    <t>THE ERWIN POLICE DEPARTMENT NEEDS THIS EQUIPMENT FOR CUTTING AND CLEARING OUR FIRING RANGE, EMERGENCY PREPAREDNESS AREA, AND THE ROADS LEADING INTO THEM.</t>
  </si>
  <si>
    <t>2YTDUF51928045</t>
  </si>
  <si>
    <t>DSTRUTRAA</t>
  </si>
  <si>
    <t>TRUCK AND TRACTOR ATTACHMENTS</t>
  </si>
  <si>
    <t>2YTDUF51928047</t>
  </si>
  <si>
    <t>THE ERWIN POLICE DEPARTMENT NEEDS THIS EQUIPMENT FOR USE IN MOVING ITEMS DURING EMERGENCY RESPONSE, RESCUES, RANGE EQUIPMENT, AND OTHER TRAINING EQUIPMENT.</t>
  </si>
  <si>
    <t>2YTDUF52068449</t>
  </si>
  <si>
    <t>THE ERWIN POLICE DEPARTMENT NEEDS THIS EQUIPMENT TO WORK ON VEHICLES, EQUIPMENT, AND OTHER MISCELLANEOUS ITEMS. AT THIS TIME WE HAVE VERY LIMITED TOOLS TO WORK WITH. THANK YOU.</t>
  </si>
  <si>
    <t>2YTDUF52270024</t>
  </si>
  <si>
    <t>THE ERWIN POLICE DEPARTMENT NEEDS THIS EQUIPMENT FOR POWERING UTILITIES AND EQUIPMENT USED AT ERWIN POLICE DEPARTMENT AND AT THE FIRING RANGE. THEY CAN ALSO BE USED DURING NATURAL DISASTERS AND EMERGENCIES.</t>
  </si>
  <si>
    <t>2YTDUF51928049</t>
  </si>
  <si>
    <t>THE ERWIN POLICE DEPARTMENT NEEDS THIS EQUIPMENT FOR DISASTER-RELATED EMERGENCY RESPONSE AND PREPAREDNESS AND FOR SEARCH AND RESCUE OPERATIONS.</t>
  </si>
  <si>
    <t>2YTDUF51998043</t>
  </si>
  <si>
    <t>INSECT NET PROTECTO</t>
  </si>
  <si>
    <t>THE ERWIN POLICE DEPARTMENT NEEDS THIS EQUIPMENT FOR USE DURING OPERATIONS TO INCLUDE EMERGENCY RESPONSE, DISASTER RESPONSE, AND COVERT OPERATIONS TO ENFORCE OTHER LAWS.</t>
  </si>
  <si>
    <t>2YTDUF51998375</t>
  </si>
  <si>
    <t>THE ERWIN POLICE DEPARTMENT NEEDS THIS EQUIPMENT FOR STORAGE OF DISASTER RELATED EMERGENCY RESPONSE EQUIPMENT, STORAGE OF DRUG ENFORCEMENT EQUIPMENT, STORAGE OF RANGE MATERIALS, AND STORAGE OF OTHER MISC. EQUIPMENT. AT THIS TIME WE DO NOT HAVE ANY STORAGE AREAS. THANK YOU.</t>
  </si>
  <si>
    <t>2YTDUF52068448</t>
  </si>
  <si>
    <t>CONTAINER,DEPLOYABL</t>
  </si>
  <si>
    <t>THE ERWIN POLICE DEPARTMENT NEEDS THIS EQUIPMENT FOR STORAGE OF DISASTER RELATED EMERGENCY RESPONSE EQUIPMENT, STORAGE OF DRUG ENFORCEMENT EQUIPMENT, STORAGE OF RANGE MATERIALS, AND STORAGE OF OTHER MISC. EQUIPMENT.</t>
  </si>
  <si>
    <t>KENANSVILLE PD (2YTF4P)</t>
  </si>
  <si>
    <t>2YTF4P51786840</t>
  </si>
  <si>
    <t>DSBOX0000</t>
  </si>
  <si>
    <t>VEHICLE BOX</t>
  </si>
  <si>
    <t>KENANSVILLE POLICE DEPT NEEDS THIS EQUIPMENT FOR STORAGE OF TOOL AND EQUIPMENT USED FOR DISASTER RELIEF AND RESPONSE AND SEARCH AND RESCUE OPERATIONS</t>
  </si>
  <si>
    <t>MARTIN CSO (2YTHDE)</t>
  </si>
  <si>
    <t>2YTHDE51998052</t>
  </si>
  <si>
    <t>THE MARTIN COUNTY SHERIFFS OFFICE WOULD LIKE TO ACQUIRE THIS VAN TO BE USED TO MOVE INMATES IN DAY TO DAY OPERATIONS.  THE VAN MAY ALSO BE USED DURING TIMES OF CIVIL UNREST OR TO HAUL SUPPLIES DURING DISASTERS.</t>
  </si>
  <si>
    <t>2YTHDE52270619</t>
  </si>
  <si>
    <t>DSVIDCONF</t>
  </si>
  <si>
    <t>VIDEO CONFERENCING SYSTEM</t>
  </si>
  <si>
    <t>THE MARTIN COUNTY SHERIFFS OFFICE WOULD LIKE THE VIDEO CONFERENCE SYSTEMS.  THE CAMERAS WILL BE USED BY OUR DEPUTIES WHILE DOING ONLINE TRAINING TO ALLOW INTERACTION WITH INSTRUCTORS.  THE CAMERAS MAY ALSO BE USED FOR REMOTE STAFF MEETINGS.</t>
  </si>
  <si>
    <t>2YTHDE52481727</t>
  </si>
  <si>
    <t>THE MARTIN COUNTY SHERIFFS OFFICE WOULD LIKE TO ACQUIRE THESE GENERATORS.  THESE GENERATORS ARE LARGE ENOUGH TO RUN OUR SHOP ANIMAL SHELTER AND AUXILIARY BUILDINGS DURING POWER OUTAGES DURING STORMS OR OTHER DISASTERS.  OPERATION OF THESE LOCATIONS IS CRUCIAL TO THE SHERIFFS OFFICE BEING ABLE TO CONTINUE TO OPERATE DURING EMERGENCY EVENTS.</t>
  </si>
  <si>
    <t>2YTHDE51645956</t>
  </si>
  <si>
    <t>THE MARTIN COUNTY SHERIFFS OFFICE WOULD LIKE TO ACQUIRE THE GENERATOR SET TO BE USED DURING EMERGENCY SITUATIONS.  THESE TRAILER MOUNTED UNITS CAN BE DEPLOYED RAPIDLY ANYWHERE WE NEED EMERGENCY POWER AS WELL AS PROVIDE HEATING AND AIR CONDITIONING DURING EMERGENCIES.  THE HEATING AND AIR CONDITIONING UNIT IS INVALUABLE TO USE DURING DISASTER RECOVERY.</t>
  </si>
  <si>
    <t>2YTHDE52270621</t>
  </si>
  <si>
    <t>DSTABLET1</t>
  </si>
  <si>
    <t>TABLET COMPUTER</t>
  </si>
  <si>
    <t>THE MARTIN COUNTY SHERIFFS OFFICE WOULD LIKE TO ACQUIRE THE TABLET COMPUTERS TO BE USED BY OUR OFFICERS.  OUR IT DEPARTMENT SAYS THAT OUR DEPUTIES CAN USE THE TABLETS WITH OUR REPORT MANAGEMENT SYSTEM TO ALLOW THEM TO FILE REPORTS AND UPLOAD PICTURES WHILE THEY ARE WORKING OUTSIDE OF THE OFFICE.  THE TABLETS WILL ALSO ALLOW OUR OFFICERS ACCESS TO OUR SOP DURING EMERGENICES.</t>
  </si>
  <si>
    <t>MONTGOMERY CSO (2YTHYP)</t>
  </si>
  <si>
    <t>2YTHYP51998099</t>
  </si>
  <si>
    <t>MCSO NEEDS THIS EQUIPMENT FOR ITS CRIMINAL INVESTIGATIONS DIVISION TO USE FOR UNDERCOVER SURVEILLANCE IN EFFORTS TO COMBAT THE NARCOTICS PROBLEM WITHIN OUR COUNTY.</t>
  </si>
  <si>
    <t>NEW HANOVER CSO (2YT1GG)</t>
  </si>
  <si>
    <t>2YT1GG51928117</t>
  </si>
  <si>
    <t>THE NEW HANOVER COUNTY SHERIFF'S OFFICE WILL USE THE EQUIPMENT IN THE CAPACITY OF DISASTER-RELATED EMERGENCY RESPONSE AND PREPAREDNESS. DURING TRAINING AND DEPLOYMENT DURING TIMES OF NEED. WE WILL ACCEPT THE PROPERTY AS STATED ABOVE.</t>
  </si>
  <si>
    <t>NORTHAMPTON CSO (2YT1QG)</t>
  </si>
  <si>
    <t>2YT1QG52270097</t>
  </si>
  <si>
    <t>UNMANNED AIRCRAFT SYSTEM</t>
  </si>
  <si>
    <t>THE NORTHAMPTON COUNTY SHERIFF'S OFFICE, A LAW ENFORCEMENT AGENCY REQUESTS THIS EQUIPMENT BE ISSUED TO OUR AGENCY.  THIS EQUIPMENT IS CRITICAL TO OUR AGENCY FOR USE IN NARCOTIC SURVEILLANCE AND SEARCH AND RESCUE.  THIS IS EQUIPMENT OUR AGENCY WOULD NEVER BE ABLE TO AFFORD.  THESE PIECES AND EQUIPMENT WOULD BE OF GREAT BENEFIT TO THE CITIZENS OF OUR COUNTY IN MULTIPLE EMERGENCY SITUATIONS.</t>
  </si>
  <si>
    <t>2YT1QG52410802</t>
  </si>
  <si>
    <t>THE NORTHAMPTON COUNTY SHERIFF'S OFFICE, A LAW ENFORCEMENT AGENCY REQUESTS THIS EQUIPMENT BE ISSUED TO OUR AGENCY.  THIS EQUIPMENT WILL BE ISSUED TO OUR AGENCY FOR USE ON OUR PATROL BOAT.  WE ARE RESPONSIBLE FOR LAW ENFORCEMENT ON ONE OF THE LARGEST LAKES IN THE STATE OF NORTH CAROLINA.  THESE LIFE JACKETS WILL BE USED BY OUR PERSONNEL AND ANY CITIZENS THAT WE TAKE INTO CUSTODY WHILE ON THE LAKE.</t>
  </si>
  <si>
    <t>2YT1QG51645855</t>
  </si>
  <si>
    <t>THE NORTHAMPTON SHERIFF'S OFFICE, A LAW ENFORCEMENT AGENCY, REQUESTS THIS EQUIPMENT BE ISSUED TO OUR AGENCY.  THIS EQUIPMENT IS VITAL IN SURVEILLANCE DURING NARCOTICS INVESTIGATIONS.  IT WILL ALLOW THIS AGENCY TO GATHER VITAL INFORMATION IN THESE INVESTIGATIONS.  I HAVE SEEN THE EQUIPMENT AND WILL ACCEPT AS IS.</t>
  </si>
  <si>
    <t>2YT1QG51363160</t>
  </si>
  <si>
    <t>THE NORTHAMPTON COUNTY SHERIFF'S OFFICE, A LAW ENFORCEMENT AGENCY REQUESTS THIS EQUIPMENT BE ISSUED TO OUR AGENCY.  THIS EQUIPMENT WOULD BE USED TO POWER LIGHTS AT NIGHTTIME CRIME SCENES AND COULD ALSO BE USED DURING NATURAL DISASTER SITUATIONS.</t>
  </si>
  <si>
    <t>2YT1QG51857064</t>
  </si>
  <si>
    <t>TOURNIQUET,NONPNEUM</t>
  </si>
  <si>
    <t>THE NORTHAMPTON COUNTY SHERIFF'S OFFICE, A LAW ENFORCEMENT AGENCY, REQUEST THIS EQUIPMENT BE ISSUED TO OUR AGENCY.  WE WILL ISSUE EACH OF THESE TOURNIQUETS TO OUR DEPUTIES FOR USE IN EMERGENCY MEDICAL SITUATIONS.  THESE WILL BE CRITICAL FOR OUR DEPUTIES IF THEY ARE INJURED IN THE PERFORMANCE OF THEIR DUTIES.</t>
  </si>
  <si>
    <t>2YT1QG51857065</t>
  </si>
  <si>
    <t>POUCH,TOURNIQUET</t>
  </si>
  <si>
    <t>THE NORTHAMPTON COUNTY SHERIFF'S OFFICE, A LAW ENFORCEMENT AGENCY, REQUESTS THIS EQUIPMENT BE ISSUED TO OUR AGENCY.  WE WILL ISSUE THIS EQUIPMENT TO EACH OF OUR DEPUTIES SO THEY WOULD BE ABLE TO WEAR THEIR TOURNIQUETS WHILE THEY ARE WORKING.</t>
  </si>
  <si>
    <t>2YT1QG51645786</t>
  </si>
  <si>
    <t>DSPROJEC1</t>
  </si>
  <si>
    <t>PHOTOGRAPHIC PROJECTION EQUIPMENT</t>
  </si>
  <si>
    <t>THE NORTHAMPTON COUNTY SHERIFF'S OFFICE, A LAW ENFORCEMENT AGENCY, REQUESTS THIS EQUIPMENT BE ISSUED TO OUR AGENCY.  THIS EQUIPMENT WILL BE USED FOR CONTINUED EDUCATION OF ALL OUR DEPUTIES.  WE WILL USE THEM IN THE CLASSROOM SETTING FOR ANNUAL COURSE UPDATES.</t>
  </si>
  <si>
    <t>2YT1QG51363148</t>
  </si>
  <si>
    <t>HANDCUFFS</t>
  </si>
  <si>
    <t>THE NORTHAMPTON COUNTY SHERIFF'S OFFICE, A LAW ENFORCEMENT AGENCY REQUESTS THIS EQUIPMENT BE ISSUED TO OUR AGENCY.  THIS EQUIPMENT WILL BE USED FOR SUSPECT CONTROL AND OFFICER SAFETY PURPOSES.</t>
  </si>
  <si>
    <t>2YT1QG51363126</t>
  </si>
  <si>
    <t>THE NORTHAMPTON COUNTY SHERIFF'S OFFICE, A LAW ENFORCEMENT AGENCY REQUESTS THIS EQUIPMENT BE ISSUED TO OUR AGENCY.  THIS EQUIPMENT WILL BE USED FOR SUSPECT CONTROL DURING CUSTODY SITUATIONS.</t>
  </si>
  <si>
    <t>PERSON CSO (2YTJKM)</t>
  </si>
  <si>
    <t>2YTJKM52068837</t>
  </si>
  <si>
    <t>PERSON COUNTY SHERIFF'S OFFICE WOULD UTILIZE THIS TOOL FOR HAZMAT, RESCUE MISSIONS, BARRICADES AND RECON TO NAME A FEW</t>
  </si>
  <si>
    <t>2YTJKM52552705</t>
  </si>
  <si>
    <t>PERSON COUNTY HAS CONTACTED THE SITE AND ACCEPTS THE CONDITION OF THE ITEM. PERSON COUNTY CAN USE THIS ITEM FOR HOSTAGE AND BARRACADE CALLS FOR THE SRT TEAM</t>
  </si>
  <si>
    <t>2YTJKM52481459</t>
  </si>
  <si>
    <t>PERSON COUNTY HAS CONTACTED THE SITE AND EXCEPTS THE EQUITMENT IN THE CONDITION THEY ARE IN. PERSON COUNTY WILL USE THE EQUITMENT TO OUTFIT THE SRT TEAM WITH THE ABILITY TO OPERATE AT NIGHT TIME SAFER AND ABLE TO SEE AND RESPOND TO CALLS AT NIGHT FOR HOSTAGE RESCUSE OPERATIONS AS WELL AS BARRICADE CALLS AND ANY OTHER CALL AT NIGHT TIME WITH LOW LIGHT</t>
  </si>
  <si>
    <t>2YTJKM52410742</t>
  </si>
  <si>
    <t>PERSON COUNTY SHERIFF'S OFFICE HAS CONTACTED THE SITE AND ACCEPTS THE ITEM IN ITS CONDITION. PERSON COUNTY WILL USE THE EQUIPMENT TO OUTFIT THE SRT TEAM SO THEY CAN RESPOND TO HOSTAGE SITUATIONS AND OTHER CALLS AT NIGHT TO HELP THEM OPERATE</t>
  </si>
  <si>
    <t>2YTJKM51997947</t>
  </si>
  <si>
    <t xml:space="preserve">PERSON COUNTY SHERIFF'S OFFICE CAN UTILIZE THIS EQUIPMENT TO OUTFIT OUR SPECIAL RESPONSE TEAM  TO BE ABLE TO RESPOND TO ANY HOSTAGE RESCUE OR BARRICADE OPERATION AS WELL AS NIGHT TIME NARCOTICS OPERATIONS AND WOOD LAND OPERATIONS AS WELL AS ANY LOW LIGHT MISSIONS. I HAVE CONTACTED THE SITE AND ACCEPT THE ITEM IS THEIR CURRENT CONDITION.
</t>
  </si>
  <si>
    <t>2YTJKM52279787</t>
  </si>
  <si>
    <t>PERSON COUNTY SHERIFFS OFFICE CAN USE THIS EQUIPMENT FOR SRT TO RESPOND TO NIGHT CALL OUTS OF HOSTAGE RESCUE AND BARRICADE CALLS IN ADDITION TO ANY OTHER CALLS DURING THE NIGHT. PERSON COUNTY HAS CONTACTED THE SITE AND ACCEPTS THE ITEMS IN THE CONDITION THEY ARE IN.</t>
  </si>
  <si>
    <t>RED SPRINGS PD (2YTJ4W)</t>
  </si>
  <si>
    <t>2YTJ4W52209630</t>
  </si>
  <si>
    <t>RED SPRINGS PD NEEDS THIS VEHICLE FOR DISASTER RECOVERY AND SEARCH AND RESCUE OPERATION. DUE TO OUR WOODED AND LOW-LYING AREAS AND TERRANE IN AND OUT OF TOWN, THIS VEHICLE WOULD BE GREATLY NEEDED. THIS VEHICLE WOULD BE USED IN FRONT LINE RESPONSE TO DISASTER NEEDS AND LIFE SAFETY OPERATIONS.</t>
  </si>
  <si>
    <t>2YTJ4W52209632</t>
  </si>
  <si>
    <t>RED SPRINGS PD NEEDS THIS GENERATOR. IT COULD BE USED IN SEVERE WEATHER CONDITIONS AND LIFE SAFETY OPERATIONS DURING DISASTERS.</t>
  </si>
  <si>
    <t>RICHMOND CSO (2YTJ78)</t>
  </si>
  <si>
    <t>2YTJ7852410703</t>
  </si>
  <si>
    <t>DSVAN0000</t>
  </si>
  <si>
    <t>VAN</t>
  </si>
  <si>
    <t>THE RCSO NEEDS THIS EQUIPMENT TO TRANSPORT SPECIAL RESPONSE TEAM STAFF AND ASSOCIATED EQUIPMENT WHEN TASKED WITH RESPONDING TO CALLS FOR SERVICE.  THE EQUIPMENT IS NECESSARY TO MAINTAIN A HIGH LEVEL OF READINESS AND RESPONSE FOR SUCH CALLS.</t>
  </si>
  <si>
    <t>2YTJ7852481354</t>
  </si>
  <si>
    <t>RCSO NEEDS THIS EQUIPMENT TO ASSIST WITH MOUNTING TEMPORARY REGULAR AND SURVEILLANCE CAMERA EQUIPMENT IN AREAS THAT ARE CURRENTLY UNACCESSIBLE.  THE ADDITION OF THIS EQUIPMENT WOULD SUPPORT CURRENT INTELLIGENCE EFFORTS AS WELL AS MAINTAINING A HIGH VISIBLE PRESENCE FOR CRIME PREVENTION.</t>
  </si>
  <si>
    <t>2YTJ7851717032</t>
  </si>
  <si>
    <t>TRAILER,CARGO</t>
  </si>
  <si>
    <t>RCSO NEEDS THIS PROPERTY TO ASSIST WITH TRANSPORT AND STORAGE OF RESCUE SUPPLIES AND MATERIALS FOR OPERATIONS AND DISASTER PREPAREDNESS AND RESPONSE.  THESE ASSETS WILL BE PARAMOUNT TO PROVIDE RESCUE AND RESPONSE DUE TO OUR TOPOGRAPHICAL LANDSCAPE.</t>
  </si>
  <si>
    <t>2YTJ7852340102</t>
  </si>
  <si>
    <t>RCSO NEEDS THIS EQUIPMENT FOR SEARCH AND RESCUE OPERATIONS IN OFF ROAD CONDITIONS WHERE CURRENT EQUIPMENT CANNOT TRAVERSE.  THE EQUIPMENT WOULD ALSO BE UTILIZED TO ASSIST WITH OFF GRID DRUG ENFORCEMENT IN DESOLATE AREA WHERE TERRAIN PREVENTS ACCESS FOR CURRENT FLEET VEHICLES.</t>
  </si>
  <si>
    <t>2YTJ7852340108</t>
  </si>
  <si>
    <t>RCSO NEEDS THIS EQUIPMENT FOR SEARCH AND RESCUE OPERATIONS WHEREBY CURRENT FLEET VEHICLES CANNOT ACCESS DUE TO TERRAIN.  THE EQUIPMENT WOULD ALSO BE UTILIZED FOR DRUG ENFORCEMENT IN OFF GRID LOCATIONS WHERE THE TERRAIN AND CURRENT FLEET VEHICLES CANNOT ACCESS</t>
  </si>
  <si>
    <t>2YTJ7852209228</t>
  </si>
  <si>
    <t>RCSO NEEDS THIS EQUIPMENT TO REPLACE CURRENTLY DAMAGED EQUIPMENT ON TRAILERS WHERE THE TIRES ARE UNREPAIRABLE.  RCSO CURRENTLY MAINTAINS TRAILERS WITH THESE DAMAGED WHEELS.</t>
  </si>
  <si>
    <t>2YTJ7852209833</t>
  </si>
  <si>
    <t>REFRIGERATOR-FREEZE</t>
  </si>
  <si>
    <t>RCSO NEEDS THIS EQUIPMENT TO INCORPORATE INTO CRIME SCENE VEHICLE WHICH IS LACKING THIS SPECIFIC ITEM.  THE EQUIPMENT WILL BE UTILIZED TO MAINTAIN SPECIMEN TEMPERATURES THAT REQUIRE A CONTROLLED ENVIRONMENT.</t>
  </si>
  <si>
    <t>2YTJ7852068413</t>
  </si>
  <si>
    <t>RCSO NEEDS THIS PROPERTY TO UPFIT OUR SWORN PERSONNEL FOR RESUE AND RECOVERY EFFORTS.  THIS PROPERTY WILL ASSIST WITH TRAFFIC ACCIDENTS AND ANY OTHER TYPE INCIDENTS WHERE STRAP OR BELT CUTTING IS NECESSARY.</t>
  </si>
  <si>
    <t>2YTJ7852340427</t>
  </si>
  <si>
    <t>RCSO NEEDS THIS EQUIPMENT TO ORGANIZE AND STORE TOOLS RELATED TO JOB FUNCTIONS.  THE CURRENT PROPERTY IS NOT AVAILABLE IN CURRENT DEPARTMENT INVENTORY AND THE ADDITION OF SUCH PROPERTY IS REQUIRED.</t>
  </si>
  <si>
    <t>2YTJ7852069114</t>
  </si>
  <si>
    <t>RCSO NEES THIS EQUIPMENT FOR SEARCH AND RESCUE OPERATIONS AS WELL AS SURVIELLANCE IN LOW LIGHT AND NO LIGHT CONDITIONS.  THESE ASSETS WILL BE PARAMOUNT TO PROVIDE VISABILITY TO SURVIELLANCE, RESCUE AND RESPONSE DUE TO OUR TOPOGRAPHICAL LANDSCAPE.  DLA SITE WAS CONTACTED AND ITEMS TO BE ACCEPTED IN CURRENT CONDITION.</t>
  </si>
  <si>
    <t>2YTJ7851786772</t>
  </si>
  <si>
    <t>RCSO NEEDS THIS PROPERTY TO CONDUCT NIGHTIME SURVIELLANCE TO APPREHEND DANGEROUS SUSPECTS AND INTELLIGENCE GATHERING TO ASSIST AND PROVIDE OVERWATCH TO HIGH RISK SEARCH WARRANTS. DLA SITE WAS CONTATCED AND ITEM ACCEPTED IN CURRENT CONDITION. DLA SITE WAS CONTACTED AND ITEM ACCEPTED IN CURRENT CONDITION.</t>
  </si>
  <si>
    <t>2YTJ7851786774</t>
  </si>
  <si>
    <t>2YTJ7852068398</t>
  </si>
  <si>
    <t>NRP,HONDA 3000 GEN</t>
  </si>
  <si>
    <t>RCSO NEEDS THIS EQUIPMENT FOR SEARCH AND RESCUE OPERATIONS, DISASTER PREPAREDNESS AND RESPONSE.  THIS ASSET WILL BE PARAMOUNT TO PROVIDE A PORTABLE POWER SOURCE TO REMOTE LOCATIONS WHEN NO SUCH EQUIPMENT EXISTS FOR THE AGENCY.</t>
  </si>
  <si>
    <t>2YTJ7852138652</t>
  </si>
  <si>
    <t>RCSO NEEDS THIS EQUIPMENT FOR QUIET, MOBILE POWER DURING SHORT TERM OUTAGES.  THE EQUIPMENT IS NECESSARY FOR CONCURRENT, SIMULTANEOUS USE AT MULTIPLE LOCATIONS DURING OPERATIONS TO INCLUDE CRIMINAL AND NON CRIMINAL EVENTS.</t>
  </si>
  <si>
    <t>2YTJ7852139343</t>
  </si>
  <si>
    <t>THE RCSO NEEDS THIS EQUIPMENT FOR THE AGENCY'S CANINE PROGRAM.  THE EQUIPMENT WOULD BE ATTACHED TO THE CANINE HARNESS AND UTILIZED FOR DEPLOYMENT FOR HIGH RISK, SEARCHES AND WHEN APPLICAPLE, APPREHENSION.</t>
  </si>
  <si>
    <t>ROANOKE RAPIDS PD (2YTKBH)</t>
  </si>
  <si>
    <t>2YTKBH51646474</t>
  </si>
  <si>
    <t>THE ROANOKE RAPIDS PD WILL UTILIZE THESE ITEMS FOR THEIR SRT-SWAT TEAM IN WHICH THEY ARE BUILDING SPECIALIZED WEAPONS FOR WHICH THESE WILL FIT ON. THE AGENCY DOES CONFIRM AND ACKNOWLEDGE THE CONDITION OF THE ITEM AND HAS SPOKEN TO THE BASE.</t>
  </si>
  <si>
    <t>2YTKBH51716475</t>
  </si>
  <si>
    <t>SCOTLAND CSO (2YTKUK)</t>
  </si>
  <si>
    <t>2YTKUK52411137</t>
  </si>
  <si>
    <t>UNMANNED AIRCRAFT</t>
  </si>
  <si>
    <t>THE SCOTLAND COUNT SHERIFF'S OFFICE IS LOOKING FOR A DRONE TO ASSIST THE AGENCY WITH BOTH TACTICAL AND SEARCH AND RESCUE OPERATIONS.  THIS EQUIPMENT IS ESSENTIAL TO HELPING DEPUTIES ACCOMPLISH THERE MISSIONS SAFELY AND EFFECTIVELY.</t>
  </si>
  <si>
    <t>2YTKUK52341134</t>
  </si>
  <si>
    <t>2YTKUK52411135</t>
  </si>
  <si>
    <t>2YTKUK52411136</t>
  </si>
  <si>
    <t>2YTKUK52321071</t>
  </si>
  <si>
    <t>CARRIER,HYDRATION S</t>
  </si>
  <si>
    <t>THE SCOTLAND COUNTY SHERIFF'S OFFICE WOULD LIKE TO REQUEST THE LISTED ITEMS FOR DEPARTMENT SEARCH AND RESCUE OPERATIONS.</t>
  </si>
  <si>
    <t>SPENCER PD (2YTLC0)</t>
  </si>
  <si>
    <t>2YTLC052340360</t>
  </si>
  <si>
    <t>THE LEA, SPENCER PD, NEED THIS ITEM FOR SEARCH AND RESCUE AND NATURAL DISASTER RESPONSE.</t>
  </si>
  <si>
    <t>WAKE CSO (2YTM4X)</t>
  </si>
  <si>
    <t>2YTM4X51505422</t>
  </si>
  <si>
    <t>DSLUGGAGE</t>
  </si>
  <si>
    <t>LUGGAGE</t>
  </si>
  <si>
    <t>THE WAKE COUNTY SHERIFF OFFICE WOULD LIKE TO OBTAIN THESE ITEMS.  THEY WOULD BE USED BY THE K9 DIVISION FOR TRAINING PURPOSES AND STORAGE OF GEAR.</t>
  </si>
  <si>
    <t>2YTM4X51575515</t>
  </si>
  <si>
    <t>THE WAKE COUNTY SHERIFF OFFICE WOULD LIKE TO OBTAIN THESE ITEMS.  THEY WOULD BE UTILIZED TO SUPPLEMENT RESPONSE EQUIPMENT FOR SRT.</t>
  </si>
  <si>
    <t>2YTM4X51575517</t>
  </si>
  <si>
    <t>THE WAKE COUNTY SHERIFF OFFICE WOULD LIKE TO OBTAIN THIS ITEM.  IT WOULD BE USED TO SUPPLEMENT THE RESPONSE EQUIPMENT FOR SRT.</t>
  </si>
  <si>
    <t>2YTM4X51575512</t>
  </si>
  <si>
    <t>THE WAKE COUNTY SHERIFF OFFICE WOULD LIKE TO OBTAIN THIS ITEM.  IT WOULD BE UTILIZED BY THE SRT TEAM TO SUPPLEMENT THEIR RESPONSE EQUIPMENT TO CALLS.</t>
  </si>
  <si>
    <t>WAYNE CSO (2YTNDQ)</t>
  </si>
  <si>
    <t>2YTNDQ51786808</t>
  </si>
  <si>
    <t>TIE DOWN,CARGO,AIRC</t>
  </si>
  <si>
    <t>WAYNE COUNTY SHERIFF'S OFFICE REQUEST THIS EQUIPMENT WITH THE INTENT OF USING IT TO SUPPORT THE SHERIFFS OFFICE PERSONNEL, SWAT TEAM, ACE TEAM AND SEARCH TEAMS DURING TRANSPORT, WHILE CONDUCTING LAW ENFORCEMENT OPERATIONS.</t>
  </si>
  <si>
    <t>2YTNDQ51786809</t>
  </si>
  <si>
    <t>WAYNE COUNTY SHERIFF'S OFFICE REQUEST THIS EQUIPMENT FOR SUPPORT OF SHERIFFS OFFICE.  EQUIPMENT WILL BE USED TO SUPPORT LAW ENFORCEMENT OPERATIONS AND ENHANCE SAFETY.  PERSONNEL ARE TRAINED AND QUALIFIED TO USE THE REQUESTED EQUIPMENT.</t>
  </si>
  <si>
    <t>ND</t>
  </si>
  <si>
    <t>JAMESTOWN POLICE DEPARTMENT (2YTPUC)</t>
  </si>
  <si>
    <t>2YTPUC51716261</t>
  </si>
  <si>
    <t>RECEIVER-TRANSMITTER,RADIO</t>
  </si>
  <si>
    <t>REQUESTING AGENCY HAS CONFIRMED WITH THE DLA DS LOCATION REGARDING THE LISTED ITEM CONDITION AND IS SATISFIED THAT THE ITEM REQUESTED IS OF OPERATIONAL AND OR SERVICEABLE CONDITION. RADIOS WILL BE USED BY AGENCY PERSONNEL FOR ENHANCED COMMUNICATIONS PROVIDING CRUCIAL 2-WAY RADIO COMMUNICATION DURING HIGH RISK PUBLIC SAFETY EVENTS AND UTILIZED TO COORDINATE RESOURCES, SHARE INTELLIGENCE AND PLAN RESPONSES.</t>
  </si>
  <si>
    <t>2YTPUC51716267</t>
  </si>
  <si>
    <t>2YTPUC52068481</t>
  </si>
  <si>
    <t>REQUESTING AGENCY HAS CONFIRMED WITH THE DLA DS LOCATION REGARDING THE LISTED ITEM CONDITION AND IS SATISFIED THAT THE ITEM REQUESTED IS OF OPERATIONAL AND OR SERVICEABLE CONDITION. HEADSETS WILL BE USED FOR ENHANCED COMMUNICATION DURING HIGH RISK PUBLIC SAFETY MISSIONS BY PROTECTING PERSONNEL FROM DANGEROUS NOISE LEVELS WHILE STILL ALLOWING HEAR-THROUGH SOUND ATTENUATION AND RADIO COMMUNICATION.</t>
  </si>
  <si>
    <t>2YTPUC51716477</t>
  </si>
  <si>
    <t xml:space="preserve">REQUESTING AGENCY HAS CONFIRMED WITH DLA DS LOCATION THAT THE REQUESTED PROPERTY IS OF SATISFACTORY CONDITION FOR OUR INTENDED PURPOSE AND REQUESTING THE APPROVAL OF SPECIFIED ITEMS FOR PUBLIC SAFETY USE. CLOTHING WILL BE USED BY AGENCY PERSONNEL FOR ENHANCED PROTECTION, UNIFORMITY, AND MODULARITY FOR MEMBERS CONDUCTING HIGH RISK LAW ENFORCEMENT OPERATIONS AND AID IN LOAD CARRIAGE TO ENHANCE CAPABILITY AND EFFECTIVENESS SUPPORTING PUBLIC SAFETY.
</t>
  </si>
  <si>
    <t>2YTPUC51716108</t>
  </si>
  <si>
    <t>REQUESTING AGENCY HAS CONFIRMED WITH DLA DS LOCATION THAT THE REQUESTED PROPERTY IS OF SATISFACTORY CONDITION FOR OUR INTENDED PURPOSE AND REQUESTING THE APPROVAL OF SPECIFIED ITEMS FOR PUBLIC SAFETY USE. HOLSTERS WILL BE USED BY AGENCY PERSONNEL DURING HIGH RISK INCIDENTS IN SUPPORT OF PUBLIC SAFETY OPERATIONS AND WILL ALLOW FOR ENHANCED SECURITY AND MODULARITY FOR SIDEARMS TO INCREASE EFFICIENCY, SAFETY AND UNIFORMITY.</t>
  </si>
  <si>
    <t>NE</t>
  </si>
  <si>
    <t>HOWARD CSO (2YTFKS)</t>
  </si>
  <si>
    <t>2YTFKS52340535</t>
  </si>
  <si>
    <t>TELESCOPE,ARTICULATED</t>
  </si>
  <si>
    <t>SUPERIOR OPTICS, DURABILITY, AND RAPID MAGNIFICATION CHANGES ALLOW DEPUTIES TO QUICKLY ADAPT FROM CLOSE-QUARTERS TO LONG-RANGE ENGAGEMENTS. THIS IMPROVES PRECISION, REDUCES RISK TO BYSTANDERS, AND ENSURES OFFICERS CAN RESPOND EFFECTIVELY IN DIVERSE RURAL AND URBAN LAW ENFORCEMENT SCENARIOS.</t>
  </si>
  <si>
    <t>2YTFKS52340538</t>
  </si>
  <si>
    <t>THE HCSO JUST RECEIVED AN LAV-25 FOR USE AS AN ARMORED PERSONNEL CARRIER FOR HIGH RISK OPERATIONS. OUR INSURER REQUIRES THAT ANY DRIVER AND COMMANDER WITH HEAD EXPOSED MUST HAVE FULL SEAL GOGGLES.  AS WE HAVE MULTIPLE DRIVERS AND COMMANDERS DESIGNATED, HAVING SEVERAL SETS WILL HELP US WITH NOT NEEDING TO PURCHASE REPLACEMENTS IN THE FUTURE AND KEEP US FROM SPENDING MONEY FROM OUR ALREADY VERY TIGHT BUDGET.</t>
  </si>
  <si>
    <t>2YTFKS52410850</t>
  </si>
  <si>
    <t>TOWBAR,MOTOR VEHICLE</t>
  </si>
  <si>
    <t>A TOW BAR WOULD ENABLE THE SHERIFF'S OFFICE AND SRT TO RECOVER VEHICLES, INCLUDING THE LAV-25 WE RECEIVED FROM THE RTD PROGRAM VIA NANCE COUNTY.  AS WELL AS THE USE OF THE LAV-25 AND TOW BAR TO RECOVER OTHER VEHICLES DURING EVENTS, SUCH AS THE FLOODING WE HAVE HAD.</t>
  </si>
  <si>
    <t>2YTFKS52270526</t>
  </si>
  <si>
    <t>ILLUMINATOR,INFRARED</t>
  </si>
  <si>
    <t>HCSO USES NIGHT VISION FROM NAVAL SURFACE WARFARE CRANE FOR HIGH-RISK, LOW-LIGHT OPERATIONS. LASER AIMING DEVICES ARE ESSENTIAL FOR ACCURATE PID UNDER NIGHT VISION, ENHANCING OFFICER SAFETY, AND REDUCING RISK TO BYSTANDERS DURING TACTICAL LAW ENFORCEMENT OPERATIONS IN RURAL ENVIRONMENTS.</t>
  </si>
  <si>
    <t>2YTFKS52209424</t>
  </si>
  <si>
    <t>OUR DEPUTIES ROUTINELY FACE EXTREME COLD DURING LONG HOURS ON PATROL, SEARCHES, AND RURAL EMERGENCIES. A COLD WEATHER JACKET IS ESSENTIAL FOR SAFETY AND PERFORMANCE IN SUB-ZERO MIDWEST CONDITIONS, WHERE SHELTER MAY BE MILES AWAY. BUDGET CONSTRAINTS MAKE ADEQUATE GEAR HARD TO PROVIDE.</t>
  </si>
  <si>
    <t>2YTFKS52209425</t>
  </si>
  <si>
    <t>2YTFKS52209426</t>
  </si>
  <si>
    <t>2YTFKS52209423</t>
  </si>
  <si>
    <t>2YTFKS52209422</t>
  </si>
  <si>
    <t>2YTFKS52481732</t>
  </si>
  <si>
    <t>JACKET,WET WEATHER</t>
  </si>
  <si>
    <t>WET WEATHER JACKETS PROTECT DEPUTIES DURING EXTENDED RURAL OPERATIONS IN SEVERE RAIN AND WIND. THEY KEEP GEAR AND PERSONNEL DRY, MAINTAIN MOBILITY AND READINESS, AND ENSURE OFFICERS CAN SAFELY OPERATE FOR LONG PERIODS WHERE SHELTER AND RELIEF ARE NOT IMMEDIATELY AVAILABLE.</t>
  </si>
  <si>
    <t>2YTFKS52139427</t>
  </si>
  <si>
    <t>2YTFKS52139428</t>
  </si>
  <si>
    <t>2YTFKS52481731</t>
  </si>
  <si>
    <t>WET WEATHER JACKETS PROTECT DEPUTIES DURING EXTENDED RURAL INCIDENTS IN SEVERE RAIN AND WIND. THEY KEEP GEAR AND PERSONNEL DRY, MAINTAIN MOBILITY AND READINESS, AND ENSURE OFFICERS CAN SAFELY OPERATE FOR LONG PERIODS WHERE SHELTER AND RELIEF ARE NOT IMMEDIATELY AVAILABLE.</t>
  </si>
  <si>
    <t>2YTFKS52481730</t>
  </si>
  <si>
    <t>2YTFKS52481492</t>
  </si>
  <si>
    <t>RUCKSACKS ALLOW DEPUTIES TO CARRY AND ORGANIZE SPECIALIZED GEAR SUCH AS LAV DRIVER GOGGLES, EXTRA LESS-LETHAL MUNITIONS, AND OTHER MISSION-SPECIFIC EQUIPMENT. THEY IMPROVE MOBILITY, READINESS, AND SUSTAINMENT DURING EXTENDED RURAL OPERATIONS WHERE QUICK ACCESS TO PROPERLY STAGED EQUIPMENT CAN BE LIFESAVING.</t>
  </si>
  <si>
    <t>2YTFKS52481493</t>
  </si>
  <si>
    <t>2YTFKS52481408</t>
  </si>
  <si>
    <t>WOULD ALLOW DEPUTIES TO CARRY AND ORGANIZE SPECIALIZED GEAR SUCH AS LAV DRIVER GOGGLES, EXTRA LESS-LETHAL MUNITIONS, AND OTHER MISSION-SPECIFIC EQUIPMENT. THEY IMPROVE MOBILITY, READINESS, AND SUSTAINMENT DURING EXTENDED RURAL OPERATIONS WHERE QUICK ACCESS TO PROPERLY STAGED EQUIPMENT CAN BE LIFESAVING.</t>
  </si>
  <si>
    <t>2YTFKS52411257</t>
  </si>
  <si>
    <t>AN IMMS PROVIDES OUR LAV WITH A DEDICATED, ORGANIZED MEDIC BAG, ENSURING RAPID ACCESS TO LIFESAVING SUPPLIES IN HIGH-RISK OPERATIONS. IT ENHANCES CASUALTY CARE UNDER FIRE, SUSTAINS INJURED PERSONNEL DURING EXTENDED RURAL INCIDENTS, AND BRIDGES EMS DELAYS, IMPROVING SURVIVAL IN CRITICAL INCIDENTS.</t>
  </si>
  <si>
    <t>2YTFKS52552234</t>
  </si>
  <si>
    <t>PANEL,TACTICAL ASSA</t>
  </si>
  <si>
    <t>THE ATAP WOULD PROVIDE SRT SNIPERS WITH A LIGHTWEIGHT, MODULAR SYSTEM TO CARRY MISSION-ESSENTIAL GEAR LIKE OPTICS, AMMUNITION, AND COMMUNICATIONS WHILE REMAINING LOW-PROFILE. ITS DESIGN IMPROVES COMFORT DURING LONG RURAL OPERATIONS, ENHANCES MOBILITY IN VARIED TERRAIN, AND ENSURES RAPID ACCESS TO CRITICAL EQUIPMENT WHEN PRECISION RESPONSE IS REQUIRED.</t>
  </si>
  <si>
    <t>2YTFKS52552233</t>
  </si>
  <si>
    <t>NJ</t>
  </si>
  <si>
    <t>BERLIN BOROUGH POLICE DEPT (2YTA52)</t>
  </si>
  <si>
    <t>2YTA5251998404</t>
  </si>
  <si>
    <t>BERLIN BOROUGH POLICE DEPARTMENT WOULD UTILIZE THIS ITEM FOR ITS OFFICERS ON THE SWAT TEAM. IT WOULD BE USED IN A SNIPER ROLE FOR DETERMINING THE RANGE OF OBJECTS OR SUSPECTS IN A TACTICAL SITUATION. AFTER CONTACTING THE BASE, I AM SATISFIED THAT THIS ITEM IS OPERATIONAL OR CAN BE MADE OPERATIONAL.</t>
  </si>
  <si>
    <t>2YTA5252551933</t>
  </si>
  <si>
    <t>BERLIN BOROUGH POLICE DEPARTMENT WOULD UTILIZE THIS ITEM FOR ANY TACTICAL OR SEARCH AND RESCUE SITUATION THAT INVOLVED LOW LIGHT OR DARKNESS. AFTER CONTACTING THE BASE PERSONNEL, I AM SATISFIED THAT THIS ITEM IS WORKING OR CAN BE MADE TO WORK.</t>
  </si>
  <si>
    <t>2YTA5252139133</t>
  </si>
  <si>
    <t>BERLIN BOROUGH POLICE DEPARTMENT WOULD UTILIZE THIS ITEM FOR SEARCH AND RESCUE AND TACTICAL SITUATION FOR ITS SWAT TEAM MEMBERS. I AM SATISFIED THAT THIS ITEM IS USABLE OR CAN BE MADE USABLE.</t>
  </si>
  <si>
    <t>2YTA5252139132</t>
  </si>
  <si>
    <t>BERLIN BOROUGH POLICE DEPARTMENT WOULD UTILIZE THIS ITEM FOR SEARCH AND RESCUE AND TACTICAL PURPOSES WHERE THERMAL IMAGING WOULD BE APPLICABLE. I AM SATISFIED THAT THIS THIS ITEM IS USABLE OR CAN BE MADE USABLE.</t>
  </si>
  <si>
    <t>2YTA5252411621</t>
  </si>
  <si>
    <t>BERLIN BOROUGH POLICE DEPARTMENT WOULD UTILIZE THIS ITEM FOR ANY SEARCH AND RESCUE OR TACTICAL SITUATION THAT INVOLVED DARK OR LOW LIGHT SITUATIONS. AFTER SPEAKING WITH BASE PERSONNEL, I AM SATISFIED THAT THIS ITEM WORKS OR CAN BE REPAIRED TO WORK.</t>
  </si>
  <si>
    <t>DOJ/FBI NEWARK (2YTRW5)</t>
  </si>
  <si>
    <t>2YTRW551928109</t>
  </si>
  <si>
    <t>NALGENE WATER CUP</t>
  </si>
  <si>
    <t>REQUESTED BY FBI NEWARK SWAT TO ENHANCE AGENT SAFETY AND COMFORT DURING RURAL TRAINING AND ENFORCEMENT OPERATIONS.</t>
  </si>
  <si>
    <t>2YTRW551928112</t>
  </si>
  <si>
    <t>REQUESTED BY FBI NEWARK SWAT TO STORE SENSITIVE EQUIPMENT DURING TRAINING OPERATIONS.</t>
  </si>
  <si>
    <t>2YTRW551998102</t>
  </si>
  <si>
    <t>REQUESTED BY FBI NEWARK SWAT TO STORE SENSITIVE EQUIPMENT DURING OPERATIONS AND TRAINING.</t>
  </si>
  <si>
    <t>EATONTOWN POLICE DEPT (2YTPXC)</t>
  </si>
  <si>
    <t>2YTPXC52209386</t>
  </si>
  <si>
    <t>DSINDEQU0</t>
  </si>
  <si>
    <t>INDIVIDUAL EQUIPMENT</t>
  </si>
  <si>
    <t>THIS ITEM IS BEING REQUESTED FOR LAW ENFORCEMENT USE ONLY. POLICE OFFICERS WILL WEAR THIS GROIN PROTECTION DURING POLICE DEPARTMENT ACTIVE SHOOTER TRAINING.</t>
  </si>
  <si>
    <t>2YTPXC52209385</t>
  </si>
  <si>
    <t>THIS ITEM IS BEING REQUESTED FOR LAW ENFORCEMENT USE ONLY. POLICE OFFICERS WILL WEAR THIS NECK PROTECTION DURING POLICE DEPARTMENT ACTIVE SHOOTER TRAINING.</t>
  </si>
  <si>
    <t>HACKENSACK POLICE DEPT (2YTEY4)</t>
  </si>
  <si>
    <t>2YTEY452482182</t>
  </si>
  <si>
    <t>SCOPE,RIFLE</t>
  </si>
  <si>
    <t>FOR USE BY THIS LEA ONLY. TO BE USED BY THE LEOS OF THIS AGENCY. THIS RIFLE SCOPE WILL BE USED BY TRAINED LAW ENFORCEMENT SNIPERS TO SUPPORT PRECISION OPERATIONS, CRITICAL INCIDENT RESPONSE, AND PUBLIC SAFETY MISSIONS. I REACHED OUT TO THE BASE AND AM SATISFIED THAT THE ITEMS ARE USABLE OR CAN BE MADE TO BE USABLE BY MY AGENCY.</t>
  </si>
  <si>
    <t>2YTEY452622696</t>
  </si>
  <si>
    <t>FOR USE BY THIS LEA ONLY. TO BE USED BY THE LEOS OF THIS AGENCY. THIS RANGE FINDER WILL BE UTILIZED DURING LAW ENFORCEMENT OPERATIONS, TRAINING, AND TACTICAL RESPONSE TO ENHANCE ACCURACY AND OPERATIONAL EFFECTIVENESS.</t>
  </si>
  <si>
    <t>2YTEY452551876</t>
  </si>
  <si>
    <t>FOR USE BY THIS LEA ONLY. TO BE USED BY THE LEOS OF THIS AGENCY. THESE NIGHT VISION GOGGLES WILL BE UTILIZED DURING LAW ENFORCEMENT OPERATIONS THAT REQUIRE LOW-LIGHT OR NO-LIGHT CAPABILITIES, INCLUDING SEARCH AND RESCUE, SURVEILLANCE, AND TACTICAL RESPONSE. I REACHED OUT TO THE BASE AND AM SATISFIED THAT THE ITEMS ARE USABLE OR CAN BE MADE TO BE USABLE BY MY AGENCY.</t>
  </si>
  <si>
    <t>2YTEY452552623</t>
  </si>
  <si>
    <t>DSHEADSET</t>
  </si>
  <si>
    <t>HEADSET</t>
  </si>
  <si>
    <t>FOR USE BY THIS LEA ONLY. TO BE USED BY THE LEOS OF THIS AGENCY. THIS VR HEADSET WILL BE UTILIZED FOR LAW ENFORCEMENT TRAINING TO ENHANCE SCENARIO-BASED PREPARATION, CRITICAL INCIDENT RESPONSE, AND OPERATIONAL READINESS.</t>
  </si>
  <si>
    <t>2YTEY452552366</t>
  </si>
  <si>
    <t>FOR USE BY THIS LEA ONLY. TO BE USED BY THE LEOS OF THIS AGENCY. THIS BATTERY CHARGER WILL BE USED TO MAINTAIN OPERATIONAL READINESS OF LAW ENFORCEMENT EQUIPMENT AND SUPPORT CRITICAL MISSIONS AND EMERGENCY RESPONSE.</t>
  </si>
  <si>
    <t>2YTEY452552701</t>
  </si>
  <si>
    <t>SPOTLIGHT</t>
  </si>
  <si>
    <t>FOR USE BY THIS LEA ONLY. TO BE USED BY THE LEOS OF THIS AGENCY. THIS SPOTLIGHT WILL BE UTILIZED DURING LAW ENFORCEMENT OPERATIONS, SEARCH AND RESCUE MISSIONS, TRAFFIC INCIDENTS, AND NIGHT OPERATIONS TO ENHANCE VISIBILITY AND SAFETY.</t>
  </si>
  <si>
    <t>2YTEY452552617</t>
  </si>
  <si>
    <t>FOR USE BY THIS LEA ONLY. TO BE USED BY THE LEOS OF THIS AGENCY. THIS IR HELMET LIGHT WILL BE UTILIZED DURING LAW ENFORCEMENT TACTICAL OPERATIONS, SEARCH AND RESCUE MISSIONS, AND NIGHT OPERATIONS TO ENHANCE SAFETY AND EFFECTIVENESS.</t>
  </si>
  <si>
    <t>2YTEY452552627</t>
  </si>
  <si>
    <t>FOR USE BY THIS LEA ONLY. TO BE USED BY THE LEOS OF THIS AGENCY. THIS HEADSET MOUNT FOR HELMET WILL BE UTILIZED TO SUPPORT LAW ENFORCEMENT TACTICAL OPERATIONS, CRITICAL INCIDENT RESPONSE, AND COMMUNICATIONS DURING EXTENDED DEPLOYMENTS.</t>
  </si>
  <si>
    <t>2YTEY452551841</t>
  </si>
  <si>
    <t>FOR USE BY THIS LEA ONLY. TO BE USED BY THE LEOS OF THIS AGENCY. THIS WEAPON LIGHT WILL BE UTILIZED DURING LAW ENFORCEMENT OPERATIONS TO ENHANCE TARGET IDENTIFICATION AND OFFICER SAFETY IN LOW-LIGHT CONDITIONS.</t>
  </si>
  <si>
    <t>2YTEY452472180</t>
  </si>
  <si>
    <t>FLASH UNIT,PHOTOGRA</t>
  </si>
  <si>
    <t>FOR USE BY THIS LEA ONLY. TO BE USED BY THE LEOS OF THIS AGENCY. THIS FLASH BULB WILL BE UTILIZED WITH DEPARTMENT CAMERAS TO SUPPORT LAW ENFORCEMENT FUNCTIONS INCLUDING CRIME SCENE DOCUMENTATION, EVIDENCE COLLECTION, AND LOW-LIGHT OPERATIONS.</t>
  </si>
  <si>
    <t>2YTEY452472188</t>
  </si>
  <si>
    <t>FOR USE BY THIS LEA ONLY. TO BE USED BY THE LEOS OF THIS AGENCY. THIS CAMERA TRIPOD WILL BE UTILIZED TO SUPPORT LAW ENFORCEMENT PHOTOGRAPHY NEEDS INCLUDING CRIME SCENE DOCUMENTATION, EVIDENCE COLLECTION, AND TRAINING OPERATIONS.</t>
  </si>
  <si>
    <t>2YTEY452482082</t>
  </si>
  <si>
    <t>TROUSERS,EXTREME CO</t>
  </si>
  <si>
    <t>FOR USE BY THIS LEA ONLY. TO BE USED BY THE LEOS OF THIS AGENCY. THIS COLD WEATHER PANTS WILL BE UTILIZED BY OFFICERS DURING LAW ENFORCEMENT OPERATIONS AND INCIDENTS CONDUCTED IN SEVERE WEATHER CONDITIONS TO MAINTAIN OPERATIONAL EFFECTIVENESS.</t>
  </si>
  <si>
    <t>2YTEY452552075</t>
  </si>
  <si>
    <t>FOR USE BY THIS LEA ONLY. TO BE USED BY THE LEOS OF THIS AGENCY. THIS COLD WEATHER JACKET WILL BE UTILIZED BY OFFICERS DURING LAW ENFORCEMENT OPERATIONS AND INCIDENTS CONDUCTED IN SEVERE WEATHER CONDITIONS TO MAINTAIN OPERATIONAL EFFECTIVENESS.</t>
  </si>
  <si>
    <t>2YTEY452623115</t>
  </si>
  <si>
    <t>FOR USE BY THIS LEA ONLY. TO BE USED BY THE LEOS OF THIS AGENCY. THESE GOGGLES WILL BE UTILIZED DURING LAW ENFORCEMENT OPERATIONS AND TRAINING TO PROVIDE EYE PROTECTION AND ENHANCE OPERATIONAL SAFETY.</t>
  </si>
  <si>
    <t>2YTEY452551869</t>
  </si>
  <si>
    <t>FOR USE BY THIS LEA ONLY. TO BE USED BY THE LEOS OF THIS AGENCY. THIS INDIVIDUAL BLACK DUFFLE BAG WILL BE UTILIZED FOR THE STORAGE AND TRANSPORT OF LAW ENFORCEMENT GEAR AND EQUIPMENT DURING DAILY OPERATIONS AND SPECIAL ASSIGNMENTS.</t>
  </si>
  <si>
    <t>HAZLET TOWNSHIP POLICE DEPT (2YTPQF)</t>
  </si>
  <si>
    <t>2YTPQF52411177</t>
  </si>
  <si>
    <t>KIT,FIRST AID,INDIV</t>
  </si>
  <si>
    <t>ISSUE PERSONAL FIRST AID KIT TO ALL OFFICERS AS WELL AS EVERY FRONT LINE VEHICLE.</t>
  </si>
  <si>
    <t>MONMOUTH BEACH POLICE DEPT (2YTHWK)</t>
  </si>
  <si>
    <t>2YTHWK51716240</t>
  </si>
  <si>
    <t>FOR USE BY THIS LEA ONLY.  THIS LEA WILL UTILIZE THIS ITEM FOR LAW ENFORCEMENT PURPOSES.  THIS AGENCY WILL USE THIS ITEM AS A SECONDARY POWER SOURCE FOR A COMMAND CENTER DEPLOYED IN THE FIELD.</t>
  </si>
  <si>
    <t>2YTHWK51716237</t>
  </si>
  <si>
    <t>2YTHWK51716532</t>
  </si>
  <si>
    <t>FOR USE BY THIS LEA ONLY.  THIS LEA WILL UTILIZE THIS ITEM FOR LAW ENFORCEMENT PURPOSES.  THIS AGENCY WILL USE THIS ITEM FOR DURING NATURAL DISASTERS FOR WHEN OFFICERS ARE HELD OVER FOR MULTIPLE DAYS.</t>
  </si>
  <si>
    <t>2YTHWK51716533</t>
  </si>
  <si>
    <t>FOR USE BY THIS LEA ONLY.  THIS LEA WILL UTILIZE THIS ITEM FOR LAW ENFORCEMENT PURPOSES.  THIS AGENCY WILL USE THIS ITEM AS EYE PROTECTION DURING FIREARMS TRAINING.</t>
  </si>
  <si>
    <t>NEW MILFORD POLICE DEPARTMENT (2YTQUN)</t>
  </si>
  <si>
    <t>2YTQUN52552013</t>
  </si>
  <si>
    <t>CHAIN,WELDED</t>
  </si>
  <si>
    <t>THE LEA WILL UTILIZE THE CHAIN WELDED TO REPLACE DAMAGED EQUIPMENT AND TO BE USED TO SECURE LEA EQUIPMENT TO OUR LEA TRAILER. THE EQUIPMENT REQUESTED WILL SPECIFICALLY BE USED TO SECURE LEA EQUIPMENT AND TO SECURE LEA VEHICLES DURING TRANSPORT.</t>
  </si>
  <si>
    <t>2YTQUN52552115</t>
  </si>
  <si>
    <t>THE LEA WILL UTILIZE THE REQUESTED IMAGE INTENSIFIER, NIGHT VISION TO ENHANCE OUR DEPARTMENTS ABILITY TO CONDUCT SAFE AND EFFECTIVE OPERATIONS DURING NIGHTTIME AND LOW LIGHT CONDITIONS. THE ITEM REQUESTED WILL SPECIFICALLY BE USED BY MEMBERS OF THIS LEA, TACTICAL TEAMS AND SEARCH AND RESCUE PERSONNEL TO IMPROVE VISIBILITY WITHOUT RELIANCE ON ARTIFICIAL LIGHTING, REDUCING THE RISK OF OFFICER INJURY. THE BASE HAS CONFIRMED THESE OPTICS ARE USABLE.</t>
  </si>
  <si>
    <t>NORTH BRUNSWICK POLICE DEPT (2YT1N4)</t>
  </si>
  <si>
    <t>2YT1N451857722</t>
  </si>
  <si>
    <t>INTRENCHING TOOL,HAND</t>
  </si>
  <si>
    <t>THESE ITEMS WILL BE UTILIZED BY DETECTIVES IN THIS LEA TO PROCESS CRIME SCENES TO RECOVERED BURIED EVIDENCE</t>
  </si>
  <si>
    <t>2YT1N451927726</t>
  </si>
  <si>
    <t>THIS ITEMS WILL BE USED BY THIS LEA IN THE EVENT OF A MASS CASUALTY INCIDENT TO RENDER AID</t>
  </si>
  <si>
    <t>2YT1N451857720</t>
  </si>
  <si>
    <t>THESE ITEMS WILL BE UTILIZED BY THIS LEA FOR A MASS CAUSALITY INCIDENT TO PROVIDE AID</t>
  </si>
  <si>
    <t>ORANGE POLICE DEPARTMENT (2YT15D)</t>
  </si>
  <si>
    <t>2YT15D51786748</t>
  </si>
  <si>
    <t>FOR THE USE BY THIS AGENCY, ORANGE POLICE DEPARTMENT ONLY. THE PICKUP WILL BE ASSIGNED TO THE TRAFFIC UNIT TO SUPPORT DAILY OPERATIONS. WITH THE ABILITY TO RESPOND TO TRAFFIC ACCIDENTS AND ROAD CLOSURES, IT WILL PROVIDE VITAL SUPPORT AND ENHANCE OFFICER SAFETY DURING HAZARDOUS SITUATIONS. ADDITIONALLY, THE VEHICLE WILL BE USED TO TOW THE DEPARTMENTS TRAILER, OFFERING RELIABLE PERFORMANCE AND SERVING AS A VALUABLE ASSET TO THE TEAM AND TRAFFIC ENFORCEMENT EFFORTS.</t>
  </si>
  <si>
    <t>2YT15D51786747</t>
  </si>
  <si>
    <t>2YT15D52411655</t>
  </si>
  <si>
    <t>FOR THE USE BY THIS LAW ENFORCEMENT AGENCY, ORANGE POLICE ONLY. THE NIGHT VISION MONOCULAR WILL BE ISSUED TO SPECIAL RESPONSE TEAM OPERATORS FOR USE DURING NIGHT TIME OPERATIONS AND THE EXECUTION OF SEARCH WARRANTS. IT ENHANCES SITUATIONAL AWARENESS BY PROVIDING VISIBILITY IN NO OR LOWLIGHT ENVIRONMENTS, ALLOWING FOR CONTROLLED, DELIBERATE TACTICAL RESPONSES WHILE PROMOTING OFFICER SAFETY. WE HAVE CONFIRMED WITH THE BASE THAT THE OPTICS ARE REPAIRABLE, USABLE AND MEET OPERATIONAL STANDARDS.</t>
  </si>
  <si>
    <t>2YT15D52551976</t>
  </si>
  <si>
    <t>FOR THE USE BY THIS AGENCY, ORANGE POLICE ONLY. THE NIGHT VISION BINOCULAR WILL BE ISSUED TO SPECIAL RESPONSE TEAM OPERATORS FOR USE DURING NIGHT OPERATIONS AND EXECUTIONS OF SEARCH WARRANTS. PRIMARY USE WILL ENHANCE SITUATIONAL AWARENESS BY PROVIDING VISIBILITY IN NO OR LOW LIGHT ENVIRONMENTS, ALLOWING FOR CONTROLLED, DELIBERATE TACTICAL RESPONSES WHILE PROMOTING OFFICER SAFETY.  WE HAVE CONFIRMED WITH BASE THAT THE OPTICS ARE REPAIRABLE USABLE AND MEET OPERATIONAL STANDARDS.</t>
  </si>
  <si>
    <t>2YT15D52622274</t>
  </si>
  <si>
    <t>FOR THE USE BY THIS LAW ENFORCEMENT AGENCY, ORANGE POLICE ONLY. CASES WILL BE PLACED IN VEHICLES TO ENSURE THE SECURE STORAGE AND PROTECTION OF VARIOUS MATERIALS. THESE CASES WILL CONTAIN TOOLS, FIELD PAPERWORK, AND OTHER ESSENTIAL ITEMS REQUIRED FOR INVESTIGATIVE WORK. THE DURABLE AND SECURE DESIGN OF CASES WILL HELP MAINTAIN ORGANIZATION AND PROTECT THE CONTENTS FROM DAMAGE DURING TRANSPORT AND FIELD OPERATIONS.</t>
  </si>
  <si>
    <t>ROSELLE POLICE DEPARTMENT (2YTKFS)</t>
  </si>
  <si>
    <t>2YTKFS52552122</t>
  </si>
  <si>
    <t>FOR USE BY THIS LEA ONLY. THE FOLLOWING ONE 3K DIESEL GENERATOR WILL SUPPORT THE ROSELLE POLICE DEPARTMENT TRAFFIC SAFETY BUREAU WITH TEMPORARY EMERGENCY POWER TO CRITICAL TRAFFIC SIGNAL INTERSECTIONS MINIMIZING OFFICER PRESENCE FOR TRAFFIC CONTROL.</t>
  </si>
  <si>
    <t>2YTKFS52552127</t>
  </si>
  <si>
    <t>CLEANER,VACUUM,ELECTRIC</t>
  </si>
  <si>
    <t>FOR USE BY THIS LEA ONLY. TO BE USED BY THE STAFF OF THIS PD TO MAINTAIN THE CARPET AND FLOORING AT OFFICE SITES THAT ARE EXCLUSIVELY USED BY MEMBERS OF THIS LEA ONLY LOCATED AT 210 CHESTNUT ST ROSELLE.</t>
  </si>
  <si>
    <t>SHIP BOTTOM POLICE DEPT (2YTK20)</t>
  </si>
  <si>
    <t>2YTK2052340275</t>
  </si>
  <si>
    <t>THIS ITEM WILL BE USED EXCLUSIVELY BY LEOS FROM THIS LEA. THIS ITEM WILL BE USED TO TRANSPORT RANGE EQUIPMENT, TARGETS, MAINTENANCE EQUIPMENT, AMMO, AND OTHER NECESSARY EQUIPMENT TO THIS DEPARTMENTS OFF SITE QUALIFICATION RANGE.</t>
  </si>
  <si>
    <t>2YTK2052279775</t>
  </si>
  <si>
    <t>THIS ITEM WILL BE USED EXCLUSIVELY BY LEOS FROM THIS LEA. THIS ITEM WILL BE USED TO TRANSPORT RANGE EQUIPMENT, TARGETS, AMMO, SAFETY EQUIPMENT, CLEANING SUPPLIES TO OUR OFF SITE QUALIFICATION RANGE.</t>
  </si>
  <si>
    <t>SOUTH PLAINFIELD POLICE DEPT (2YTK9G)</t>
  </si>
  <si>
    <t>2YTK9G52411264</t>
  </si>
  <si>
    <t>THIS TRUCK WILL BE UTILIZED BY THE SOUTH PLAINFIELD POLICE DEPARTMENT FOR USE IN HIGH WATER AND FLOOD WATER RESCUES AND WOULD BE ADDED TO OUR HIGH WATER RESCUE FLEET. WE HAVE EXPERIENCED MULTIPLE CATASTROPHIC FLOOD EVENTS IN THE RECENT YEARS.</t>
  </si>
  <si>
    <t>SPRING LAKE POLICE DEPT (2YTLDD)</t>
  </si>
  <si>
    <t>2YTLDD52068978</t>
  </si>
  <si>
    <t>WILL BE USED BY THIS LAW ENFORCEMENT AGENCY ONLY, AND FOR LAW ENFORCEMENT PURPOSES ONLY. ALL-TERRAIN VEHICLE WILL BE USED FOR BEACH FRONT PATROL BY THIS LAW ENFORCEMENT AGENCY ONLY.</t>
  </si>
  <si>
    <t>2YTLDD52138981</t>
  </si>
  <si>
    <t>DOOR,VEHICULAR</t>
  </si>
  <si>
    <t>WILL BE USED BY THIS LAW ENFORCEMENT AGENCY ONLY, AND FOR LAW ENFORCEMENT PURPOSES ONLY. WILL BE USED TO REPLACE DOORS ON POLICE HUMVEE</t>
  </si>
  <si>
    <t>2YTLDD52138977</t>
  </si>
  <si>
    <t>TIE DOWN,CARGO,VEHI</t>
  </si>
  <si>
    <t>WILL BE USED BY THIS LAW ENFORCEMENT AGENCY ONLY, AND FOR LAW ENFORCEMENT PURPOSES ONLY. ITEM WILL BE USED TO SECURE ITEMS WHILE BEING TRANSPORTED BY THIS LAW ENFORCEMENT AGENCY ONLY.</t>
  </si>
  <si>
    <t>STAFFORD TOWNSHIP POLICE DEPT (2YTLE2)</t>
  </si>
  <si>
    <t>2YTLE252411631</t>
  </si>
  <si>
    <t>FOR USE BY THIS LEA ONLY. THE LEA WILL USE THIS ITEM TO ASSIST WITH SEARCH AND RESCUE OPERATIONS.</t>
  </si>
  <si>
    <t>2YTLE252552069</t>
  </si>
  <si>
    <t>FOR USE BY THIS LEA ONLY. THIS LEA WILL USE THIS ITEM FOR NIGHTTIME SWAT OPERATIONS TO ASSIST WITH IDENTIFYING TARGETS IN TOTAL DARKNESS. THIS LEA HAS CONTACTED THE BASE AND IS SATISFIED THAT THE ITEM IS IN USABLE CONDITION.</t>
  </si>
  <si>
    <t>TRANSIT POLICE (2YTQB5)</t>
  </si>
  <si>
    <t>2YTQB552279832</t>
  </si>
  <si>
    <t>THIS IS FOR USE BY THE NEW JERSEY TRANSIT POLICE DEPARTMENT ONLY. THIS ITEM IS TO BE USED TO MOVE CARGO,SUPPLIES AND OTHER ITEMS TO FLOODED AREAS WHICH ARE INACCESSIBLE DUE TO ADVERSE ROAD CONDITIONS.</t>
  </si>
  <si>
    <t>2YTQB552138950</t>
  </si>
  <si>
    <t>THIS IS FOR THE NEW JERSEY TRANSIT POLICE DEPARTMENT ONLY. THIS ITEM IS TO BE USED TO LOGISTICALLY MOVE SUPPLIES BETWEEN DISTRICTS AND FOR SPECIAL EVENTS.</t>
  </si>
  <si>
    <t>WESTWOOD POLICE DEPARTMENT (2YTNLY)</t>
  </si>
  <si>
    <t>2YTNLY52279943</t>
  </si>
  <si>
    <t>CLEANING UNIT,FOAM</t>
  </si>
  <si>
    <t>TO BE USED BY THE WESTWOOD POLICE DEPARTMENT TO CLEAN AND SANITIZE KEY AREAS AND EQUIPMENT. THIS INCLUDES CONCRETE SURFACES LIKE THE SALLY PORT AND CELL BLOCK, WHERE CLEANLINESS IS IMPORTANT FOR HEALTH AND SAFETY. IT WILL ALSO BE USED TO DISINFECT PATROL VEHICLES TO KEEP THEM FREE OF CONTAMINANTS AND SAFE FOR DAILY USE.</t>
  </si>
  <si>
    <t>2YTNLY52279977</t>
  </si>
  <si>
    <t>DSCROSSTR</t>
  </si>
  <si>
    <t>CROSS TRAINER</t>
  </si>
  <si>
    <t>TO BE UTILIZED BY THE WESTWOOD POLICE DEPARTMENT MEMBERS IN THE ON SITE DEPARTMENT GYM TO PROMOTE OVERALL HEALTH, ENHANCE JOB PERFORMANCE, REDUCE INJURIES, AND PROVIDE A POSITIVE OUTLET FOR STRESS MANAGEMENT, PARTICULARLY IN HIGH STRESS AND PHYSICALLY DEMANDING SITUATIONS.</t>
  </si>
  <si>
    <t>2YTNLY52279975</t>
  </si>
  <si>
    <t>DSTRAINE1</t>
  </si>
  <si>
    <t>TRAINER</t>
  </si>
  <si>
    <t>NY</t>
  </si>
  <si>
    <t>ALBION POLICE DEPT (2YTAEU)</t>
  </si>
  <si>
    <t>2YTAEU51927612</t>
  </si>
  <si>
    <t>THE ALBION POLICE DEPARTMENT IS IN NEED OF A TRAILER TO STORE OUR FIREARMS EQUIPMENT IN WHICH WE USE FOR TRAINING.  OUR CURRENTLY TRAILER HAS A ROTTED FRAME AND IS NOT ROADWORTHY.</t>
  </si>
  <si>
    <t>2YTAEU52068818</t>
  </si>
  <si>
    <t>THE ALBION POLICE ARE LOOKING TO ACQUIRE THIS FORKLIFT TO UTILIZE TO STORE POLICE DEPARTMENT PROPERTY ON PALLET RACKING.</t>
  </si>
  <si>
    <t>2YTAEU5197KM02</t>
  </si>
  <si>
    <t>CARMEL POLICE DEPT (2YTBZS)</t>
  </si>
  <si>
    <t>2YTBZS52411676</t>
  </si>
  <si>
    <t>THE TOWN OF CARMEL POLICE DEPARTMENT WILL ISSUE THESE BINOCULARS TO SNIPERS ASSIGNED TO THE SWAT TEAM TO ASSIST THEM WITH LONG RANGE OPERATIONS. WE ACCEPT THE CONDITION OF THE ITEMS</t>
  </si>
  <si>
    <t>2YTBZS51928202</t>
  </si>
  <si>
    <t>THE TOWN OF CARMEL POLICE DEPARTMENT NEEDS THIS EQUIPMENT FOR DISASTER PREPAREDNESS AND RESPONSE AND TO SUPPORT OUR SWAT TEAM FOR HIGH-RISK SITUATIONS.  THIS WILL BE PARAMOUNT TO PROVIDING US THE READINESS AND CAPABILITY DUE TO THE CURRENT LACK OF SUCH EQUIPMENT.</t>
  </si>
  <si>
    <t>2YTBZS51857311</t>
  </si>
  <si>
    <t>THE TOWN OF CARMEL POLICE DEPARTMENT WILL USE THESE ILLUMINATORS ON RIFLES ASSIGNED TO SWAT TEAM MEMBERS THAT CURRENTLY DO NOT HAVE ANY INFRARED LASERS. WE ACCEPT THE CONDITION OF THE ITEMS AS IS.</t>
  </si>
  <si>
    <t>2YTBZS51857765</t>
  </si>
  <si>
    <t>THE TOWN OF CARMEL POLICE DEPARTMENT WILL USE THESE LAPTOPS TO CREATE A COMPUTER BASED TRAINING AREA.</t>
  </si>
  <si>
    <t>CHEMUNG COUNTY SHERIFFS OFFICE (2YTB9M)</t>
  </si>
  <si>
    <t>2YTB9M51998392</t>
  </si>
  <si>
    <t>ILLUMINATOR,LA5PEQ</t>
  </si>
  <si>
    <t>THE CHEMUNG COUNTY SSU WILL USE THESE FOR NIGHT TIME LOW LIGHT OPERATIONS.  WILLING TO ACCEPT IN THERE CURRENT CONDITION.</t>
  </si>
  <si>
    <t>2YTB9M51998210</t>
  </si>
  <si>
    <t>THE CHEMUNG COUNTY SSU TEAM WILL USE THIS ITEM FOR LOW LIGHT OPERATIONS.  WILLING TO ACCEPT THESE IN THEIR CURRENT CONDITION.</t>
  </si>
  <si>
    <t>2YTB9M51998219</t>
  </si>
  <si>
    <t>THECHEMUNG COUNTY SSU TEAM WILL USE THIS ITEM FOR LOW LIGHT NIGHTTIME OPERATIONS.  WILLING TO ACCEPT THIS ITEM IN ITS CURRENT CONDITION.</t>
  </si>
  <si>
    <t>ERIE COUNTY SHERIFF OFFICE (2YTDTZ)</t>
  </si>
  <si>
    <t>2YTDTZ52209575</t>
  </si>
  <si>
    <t>FALL ARRESTER ASSEM</t>
  </si>
  <si>
    <t>ROPE RESCUE EQUIPMENT FOR ECSO DEPUTIES TO PERFORM HIGH ANGLE ROPE RESCUE OPERATIONS</t>
  </si>
  <si>
    <t>KENT TOWN POLICE DEPT (2YTF5U)</t>
  </si>
  <si>
    <t>2YTF5U51857354</t>
  </si>
  <si>
    <t>ITEMS WILL BE USED BY MEMBERS OF THE TOWN OF KENT POLICE DURING TACTICAL OPERATIONS TO MAINTAIN PUBLIC SAFETY.  THE TOWN OF KENT POLICE WILL ACCEPT THE ITEMS DESPITE THE CONDITION CODE BEING F.</t>
  </si>
  <si>
    <t>2YTF5U52200070</t>
  </si>
  <si>
    <t>PRINTER,AUTOMATIC D</t>
  </si>
  <si>
    <t>ITEMS WILL BE USED TO CREATE AND ISSUE IDENTIFICATION CARDS AND ACCESS CONTROL CARDS TO MEMBERS OF THE TOWN OF KENT POLICE DEPARTMENT AND OTHER EMPLOYEES OF THE TOWN OF KENT.</t>
  </si>
  <si>
    <t>2YTF5U51786857</t>
  </si>
  <si>
    <t>INTERFACE UNIT,AUTOMATIC DATA PROCESSING</t>
  </si>
  <si>
    <t>TO BE UTILIZED BY MEMBERS OF THE TOWN OF KENT POLICE DEPARTMENT  FOR IN VEHICLE COMMAND CENTERS DURING LARGE SCALE EVENTS</t>
  </si>
  <si>
    <t>2YTF5U52341253</t>
  </si>
  <si>
    <t>ITEM WILL BE UTILIZED BY MEMBERS OF THE TOWN OF KENT POLICE DEPARTMENT IN OUR EVIDENCE ROOM.  THIS ITEM IS COMPATIBLE WITH OUR EVIDENCE MANAGEMENT SOFTWARE AND WILL BE UTILIZED TO PRINT BARCODE LABELS FOR EVIDENCE.</t>
  </si>
  <si>
    <t>LE ROY POLICE DEPARTMENT (2YTQTD)</t>
  </si>
  <si>
    <t>2YTQTD52139363</t>
  </si>
  <si>
    <t>HANDHELD RADIO</t>
  </si>
  <si>
    <t xml:space="preserve">THESE RADIOS WILL BE USED BY MEMBERS OF THE LEROY POLICE DEPARTMENT ON A DAILY BASIS. THE REQUESTED QUANTITY INCLUDES ADDITIONAL UNITS TO SERVE AS SPARES AND FOR PARTS, ENSURING OPERATIONAL READINESS AND SUPPORT IN EMERGENCY SITUATIONS. OUR AGENCY ACKNOWLEDGES AND ACCEPTS THE RADIOS IN THEIR CURRENT CONDITION OF H. 
</t>
  </si>
  <si>
    <t>OWEGO POLICE DEPT (2YT18K)</t>
  </si>
  <si>
    <t>2YT18K51575983</t>
  </si>
  <si>
    <t>RACK, STORAGE, SMALL ARMS</t>
  </si>
  <si>
    <t>THE OWEGO VILLAGE POLICE DEPARTMENT WOULD USE THIS ITEM IN CONNECTION WITH PROPERTY THAT WE CURRENTLY HAVE IN INVENTORY FOR OUR DISASTER RECOVERY PROGRAM AND EMERGENCY RESPONSE NEEDS</t>
  </si>
  <si>
    <t>2YT18K51716355</t>
  </si>
  <si>
    <t>COVER,FITTED,VEHICULAR BODY</t>
  </si>
  <si>
    <t>THE OWEGO VILLAGE POLICE DEPARTMENT WOULD USE THIS ITEM ON A VEHICLE THAT WE CURRENTLY HAVE THAT WE USE IN OUR DISASTER MITIGATION PLANS AND EMERGENCY RESPONSES</t>
  </si>
  <si>
    <t>2YT18K51646354</t>
  </si>
  <si>
    <t>DSGOGGLES</t>
  </si>
  <si>
    <t>SAFETY GOGGLES</t>
  </si>
  <si>
    <t>THE OWEGO VILLAGE POLICE DEPARTMENT WOULD USE THESE ITEMS TO HELP EQUIP OFFICERS DURING EMERGENCY RESPONSES AND DISASTER MITIGATION EFFORTS</t>
  </si>
  <si>
    <t>2YT18K52341178</t>
  </si>
  <si>
    <t>FLASHER,THERMAL</t>
  </si>
  <si>
    <t>THE VILLAGE OF OWEGO POLICE DEPARTMENT WILL USE THIS EQUIPMENT TO REPAIR AND MAINTAIN 1033 PROGRAM VEHICLES THAT WE HAVE IN OUR INVENTORY FOR EMERGENCY RESPONSES AND NATURAL DISASTER MITIGATION</t>
  </si>
  <si>
    <t>2YT18K51716351</t>
  </si>
  <si>
    <t>COT,FOLDING</t>
  </si>
  <si>
    <t>THE OWEGO VILLAGE POLICE DEPARTMENT WOULD USE THESE ITEMS IN CONNECTION WITH OUR DISASTER MITIGATION EFFORTS AND EMERGENCY RESPONSE PLANS</t>
  </si>
  <si>
    <t>2YT18K51645986</t>
  </si>
  <si>
    <t>THE OWEGO VILLAGE POLICE DEPARTMENT WOULD USE THESE ITEMS IN CONNECTION WITH OUR EMERGENCY RESPONSE AND DISASTER RELIEF PLANS.</t>
  </si>
  <si>
    <t>2YT18K51645985</t>
  </si>
  <si>
    <t>BLANKET,BED</t>
  </si>
  <si>
    <t>THE OWEGO VILLAGE POLICE DEPARTMENT WOULD USE THIS ITEM IN CONNECTION WITH OUR DISASTER RECOVERY PLANS AND EMERGENCY RESPONSES</t>
  </si>
  <si>
    <t>2YT18K51645987</t>
  </si>
  <si>
    <t>THE OWEGO VILLAGE POLICE DEPARTMENT WOULD USE THESE ITEMS IN CONNECTION WITH OUR DISASTER RECOVERY EFFORTS AS WELL AS IN OUR RESPONSE TO EMERGENCY SITUATIONS.</t>
  </si>
  <si>
    <t>2YT18K51716353</t>
  </si>
  <si>
    <t>THE OWEGO VILLAGE POLICE DEPARTMENT WOULD USE THESE ITEMS IN CONNECTION WITH OUR WORK IN DISASTER MITIGATION, AND EMERGENCY RESPONSES</t>
  </si>
  <si>
    <t>2YT18K51646356</t>
  </si>
  <si>
    <t>PAD,HELMET,ADVANCED</t>
  </si>
  <si>
    <t>THE VILLAGE OF OWEGO POLICE DEPARTMENT WOULD USE THESE ITEMS IN CONNECTION WITH EQUIPMENT WE ALREADY HAVE AND USE IN EMERGENCY RESPONSES AND DISASTER MITIGATION EFFORTS</t>
  </si>
  <si>
    <t>RIVERHEAD POLICE DEPT (2YTKAT)</t>
  </si>
  <si>
    <t>2YTKAT51786925</t>
  </si>
  <si>
    <t>THE RIVERHEAD POLICE DEPARTMENT WOULD USE THESE SAFETY SUITS TO OUTFIT AND OR SUPPLEMENT OUR MARINE UNIT.</t>
  </si>
  <si>
    <t>ROCHESTER POLICE DEPT (2YTKCC)</t>
  </si>
  <si>
    <t>2YTKCC52482156</t>
  </si>
  <si>
    <t>THESE ITEMS WILL BE USED BY THE ROCHESTER PD AS A MID-LAYER FOR OUR WINTER UNIFORM. THESE JACKETS WILL BE ISSUED TO OUR SWAT TEAM, TACTICAL BOMB TECH'S, AND SWAT MEDICS. THESE WILL ALLOW US TO SAVE MONEY FOR ACQUISITION OF OTHER ESSENTIAL EQUIPMENT FOR OUR CURRENT MISSIONS. OUR SWAT TEAM CONDUCTS SEVERAL MISSIONS DURING OUR WINTER MONTHS THAT REQUIRE US TO BE IN THE ELEMENTS FOR SEVERAL HOURS TO SEVERAL DAYS. THESE WARMING LAYERS WOULD ALLOW US TO COMPLETE MISSIONS IN THESE COLD WEATHER MONTHS.</t>
  </si>
  <si>
    <t>WEST SENECA POLICE DEPT (2YTNJC)</t>
  </si>
  <si>
    <t>2YTNJC52068565</t>
  </si>
  <si>
    <t>THE WEST SENECA POLICE WILL USE THESE ITEMS AT EMERGENCY SHELTERS DURING SEVERE STORMS OR SNOW EMERGENCIES TO SUPPORT OFFICERS AND CIVILIANS WHEN TRAVEL IS UNSAFE. THEY WILL ENSURE SAFE, CLEAN, AND RELIABLE SLEEPING ARRANGEMENTS FOR EXTENDED OPERATIONS, IMPROVING READINESS, REDUCING FATIGUE, AND MAINTAINING PUBLIC SAFETY DURING PROLONGED INCIDENTS OR SHELTER ACTIVATIONS.</t>
  </si>
  <si>
    <t>2YTNJC51988564</t>
  </si>
  <si>
    <t>OH</t>
  </si>
  <si>
    <t>BRUNSWICK POLICE DEPT (2YTBM0)</t>
  </si>
  <si>
    <t>2YTBM052481864</t>
  </si>
  <si>
    <t>DSMHENSPP</t>
  </si>
  <si>
    <t>MATERIAL HANDLING EQUIP, NONSELF-PROPEL</t>
  </si>
  <si>
    <t>THIS SCISSOR LIFT WILL BE USED TO PLACE AND REMOVE EQUIPMENT IN OUR SWAT ANNEX BUILDING.  THE BUILDING IS EQUIPPED WITH MULTIPLE SHELVING UNITS THAT ARE 10 FOOT TALL THAT WE USE TO STORE EQUIPMENT THAT IS ONLY USED ONCE OR TWICE A YEAR.  WE CURRENTLY HAVE TO ACCESS THE ITEMS ON THE UPPER SHELVES BY STEP LADDER WHICH CAN BE TRICKY AND A SCISSOR LIFT LIKE THIS WOULD PROVIDE A MUCH SAFER PLATFORM FOR THE OFFICER RETRIEVING THE GEAR</t>
  </si>
  <si>
    <t>2YTBM052209870</t>
  </si>
  <si>
    <t>DSCOOLER0</t>
  </si>
  <si>
    <t>COOLER, WATER</t>
  </si>
  <si>
    <t>THESE WATER COOLERS WILL BE USED IN OUR FIREARMS TRAINING PROGRAM.  THIS LOT HAS AN ASSORTMENT OF WATER DISPENSERS AS WELL AS INSULATED COOLERS THAT WE CAN USE AT OUR OUTDOOR FIREARMS TRAINING RANGE WHICH IS LOCATED IN A REMOTE AREA TO KEEP THE OFFICERS HYDRATED DURING TRAININGS</t>
  </si>
  <si>
    <t>2YTBM052481863</t>
  </si>
  <si>
    <t>THESE HARD CASES WILL BE USED TO STORE AND TRANSPORT A VARIETY OF LAW ENFORCEMENT RELATED GEAR AND EQUIPMENT FROM CHEMICAL AND IMPACT MUNITIONS FOR THE SWAT TEAM, BITE SUITS AND K9 TRAINING EQUIPMENT FOR THE K9 UNIT, TO RED MAN PROTECTIVE SUITS, SIMS GUNS AND OTHER TRAINING WEAPONS AND PADS FOR THE AGGRESSION RESPONSE INSTRUCTORS.</t>
  </si>
  <si>
    <t>DOJ/FBI CINCINNATI (2YTMRG)</t>
  </si>
  <si>
    <t>2YTMRG51855977</t>
  </si>
  <si>
    <t>FBI CINCINNATI REQUESTS THE UNMANNED GROUND VEHICLE FOR USE IN SUPPORT OF MISSION CRITICAL OPERATIONS.</t>
  </si>
  <si>
    <t>2YTMRG51855981</t>
  </si>
  <si>
    <t>2YTMRG51855980</t>
  </si>
  <si>
    <t>2YTMRG51855979</t>
  </si>
  <si>
    <t>2YTMRG52481571</t>
  </si>
  <si>
    <t>FBI CINCINNATI REQUESTS THE BICYCLE FOR USE IN MAINTAINING PHYSICAL FITNESS READINESS IN SUPPORT OF MISSION CRITICAL OPERATIONS.</t>
  </si>
  <si>
    <t>DOJ/FBI CLEVELAND DIV (2YTMRH)</t>
  </si>
  <si>
    <t>2YTMRH52270531</t>
  </si>
  <si>
    <t>DSPELCNMD</t>
  </si>
  <si>
    <t>CASE, PELICAN, MED, 100 TO 500 SQ IN</t>
  </si>
  <si>
    <t>IF AVAILABLE, REQUEST FOR 3 UNITS FOR STORAGE OF SENSITIVE OR FRAGILE OPERATIONAL ITEMS FOR FBI CLEVELAND. DAILY ACTIVITIES REQUIRE TRANSPORT AND MOBILE TRAVEL TO OPERATIONAL SITES AND CRIME SCENES. FOR UTILIZATION AND ISSUE TO SUPPORT LAW ENFORCEMENT ACTIVITY ONLY</t>
  </si>
  <si>
    <t>ELYRIA PD (2YTDSG)</t>
  </si>
  <si>
    <t>2YTDSG52411185</t>
  </si>
  <si>
    <t>HAT,CAMOUFLAGE PATT</t>
  </si>
  <si>
    <t>EQUIPMENT WILL BE USED FOR RANGE INSTRUCTORS AT MY AGENCY.</t>
  </si>
  <si>
    <t>2YTDSG52411191</t>
  </si>
  <si>
    <t>MY AGENCY SWAT TEAM WILL UTILIZE THESE FOR OPERATORS.</t>
  </si>
  <si>
    <t>2YTDSG52411193</t>
  </si>
  <si>
    <t>THIS WILL BE UTILIZED ON MY SWAT TEAM FOR OPERATORS</t>
  </si>
  <si>
    <t>2YTDSG52341189</t>
  </si>
  <si>
    <t>WILL BE UTILIZED IN MY AGENCY SWAT TEAM FOR OPERATORS TO USE.</t>
  </si>
  <si>
    <t>2YTDSG52341188</t>
  </si>
  <si>
    <t>BAGS WILL BE USED BY SWAT TEAM FOR OPERATOR EQUIPMENT STORAGE.</t>
  </si>
  <si>
    <t>FAIRFIELD COUNTY SHERIFFS OFFICE (2YTDXH)</t>
  </si>
  <si>
    <t>2YTDXH52209540</t>
  </si>
  <si>
    <t>DSTRAINE0</t>
  </si>
  <si>
    <t>ARMAMENT TRAINING DEVICES</t>
  </si>
  <si>
    <t>FOR USE BY FCSO TRAINING AND SWAT OFFICERS IN CONDUCTING COMBATIVES AND SELF DEFENCE TRAINING BY ALLOWING CONVERSION OF EXISTING GUNS</t>
  </si>
  <si>
    <t>2YTDXH52209535</t>
  </si>
  <si>
    <t>FOR USE BY FCSO OFFICERS AS PROTECTIVE EQUIPMENT DURING FORCE ON FORCE TRAINING</t>
  </si>
  <si>
    <t>2YTDXH52209534</t>
  </si>
  <si>
    <t>FAYETTEVILLE POLICE DEPARTMENT (2YTD1D)</t>
  </si>
  <si>
    <t>2YTD1D52551959</t>
  </si>
  <si>
    <t>THE FAYETTEVILLE POLICE DEPARTMENT, A SMALL RURAL LAW ENFORCEMENT AGENCY, RESPECTFULLY REQUESTS CONSIDERATION FOR ACQUIRING A DECOMMISSIONED MILITARY GENERATOR. THIS EQUIPMENT WOULD SIGNIFICANTLY ENHANCE OUR OPERATIONAL RESILIENCE AND EMERGENCY RESPONSE CAPABILITIES IN UNDERSERVED AND RESOURCE-LIMITED AREAS. MILITARY GENERATORS ARE RENOWNED FOR THEIR DURABILITY, RELIABILITY, AND ABILITY TO OPERATE UNDER EXTREME ENVIRONMENTAL CONDITIONS, MAKING THEM IDEAL FOR DEPLOYMENT IN FAYETTEVILLE'S RURAL SE</t>
  </si>
  <si>
    <t>2YTD1D52481613</t>
  </si>
  <si>
    <t>WILL USE THESE TO STORE AND TRANSPORT WEAPON SYSTEMS TO AND FROM THE RANGE. THESE CASES WILL ALSO GIVE ANOTHER LAYER OF SECURITY WHEN STORING THESE WEAPONS.</t>
  </si>
  <si>
    <t>FULTON CTY SHERIFF DEPT (2YTEED)</t>
  </si>
  <si>
    <t>2YTEED51716018</t>
  </si>
  <si>
    <t>THE FULTON COUNTY SHERIFFS OFFICE IS REQUESTING THIS TRUCK SO IT CAN BE UTILIZED TO PULL TRAILERS CONTAINING ESSENTIAL EMERGENCY EQUIPMENT FOR DEPUTIES. THIS WILL AID IN MOVING TRAILERS SET UP FOR OUR SPECIAL RESPONSE TEAM, RESCUE OPERATIONS, FIREARMS TRAINING, AND GENERAL EQUIPMENT UNABLE TO BE MOVED BY A PATROL CAR</t>
  </si>
  <si>
    <t>2YTEED52279657</t>
  </si>
  <si>
    <t>THE FULTON COUNTY SHERIFFS OFFICE IS REQUESTING THIS EQUIPMENT SO IT CAN BE USED TO MOVE EVIDENCE, EQUIPMENT, AND PARTS TO OUR UPPER STORAGE SHELVES IN OUR MAINTENANCE BUILDING. THIS WILL ALSO SUPPORT ONGOING DEVELOPMENT PROJECTS, INCLUDING THE CONSTRUCTION OF OUR NEW BUILDING AND IMPROVEMENTS AT THE NEW SHOOTING RANGE. THIS WILL ALSO BE USED TO LOAD AND UNLOAD EMERGENCY EQUIPMENT NEEDED BY OUR SPECIAL RESPONSE TEAM.</t>
  </si>
  <si>
    <t>HARDIN COUNTY SHERIFF'S OFFICE (2YTE4J)</t>
  </si>
  <si>
    <t>2YTE4J52482113</t>
  </si>
  <si>
    <t>TRUCK,WRECKER</t>
  </si>
  <si>
    <t>THE HARDIN COUNTY SHERIFF OFFICE WOULD BENEFIT FROM THE AWARD OF THIS VEHICLE AS IT WOULD ASSIST IN THE RECOVERY OF STOLEN VEHICLES AND EQUIPMENT IN OUR RURAL AREAS.</t>
  </si>
  <si>
    <t>HUBBARD POLICE DEPT (2YTFK7)</t>
  </si>
  <si>
    <t>2YTFK751716734</t>
  </si>
  <si>
    <t>OPTICS CABINET</t>
  </si>
  <si>
    <t>WOULD BE USED IN THE HUBBARD POLICE DEPARTMENT ARMORY TO SECURE OUR OFFICERS WEAPONS AND WEAPON ACCESSORIES.</t>
  </si>
  <si>
    <t>2YTFK752270563</t>
  </si>
  <si>
    <t>WOULD BE USED BY HUBBARD POLICE OFFICERS TO MAKE ADJUSTMENTS AND REPAIRS TO POLICE EQUIPMENT DURING THEIR SHIFT TO KEEP THEIR VEHICLES AND GEAR IN SERVICE.</t>
  </si>
  <si>
    <t>2YTFK752341196</t>
  </si>
  <si>
    <t>WOULD BE USED BY HUBBARD POLICE OFFICERS TO STORE THEIR TOOLS USED TO KEEP THEIR EQUIPMENT AND ASSIGNED POLICE VEHICLES IN SERVICE AS WELL AS KEPT IN THE HUBBARD POLICE ARMORY FOR WEAPON REPAIRS, AT THE HUBBARD WEAPONS RANGE AND THE POLICE SALLYPORT FOR SIMPLE VEHICLE MAINTENANCE.</t>
  </si>
  <si>
    <t>2YTFK751787071</t>
  </si>
  <si>
    <t>EACH SHIFT WOULD BE ISSUED ONE TO HAVE FOR HUBBARD POLICE OFFICERS TO USE WHEN RESPONDING TO CRIMINAL INVESTIGATIONS WHERE PATTERN ANALYSIS OR EVIDENCE COLLECTION NEEDS PERFORMED.</t>
  </si>
  <si>
    <t>2YTFK752270555</t>
  </si>
  <si>
    <t>DEFIBRILLATOR/MONIT</t>
  </si>
  <si>
    <t>WOULD BE USED BY HUBBARD POLICE OFFICERS WHEN FIRST ON SCENE RESPONDING TO CARDIAC ARRESTS, TO BE KEPT IN MARKED PATROL CARS.</t>
  </si>
  <si>
    <t>2YTFK752270556</t>
  </si>
  <si>
    <t>SURVIVAL KIT,INDIVI</t>
  </si>
  <si>
    <t>WOULD BE USED BY HUBBARD POLICE OFFICERS FOR USE IN RESPONDING TO EMERGENCY TRAUMA SITUATIONS AND KEPT IN MARKED PATROL CARS TO SUPPORT IN ACTIVE SHOOTER CALLS.</t>
  </si>
  <si>
    <t>2YTFK752270558</t>
  </si>
  <si>
    <t>DSWATCHWP</t>
  </si>
  <si>
    <t>WATCH, WRIST/POCKET</t>
  </si>
  <si>
    <t>WOULD BE USED BY HUBBARD POLICE OFFICERS TO COORDINATE TIMED RESPONSE TO CALLS OR INVESTIGATIONS, AND TO DOCUMENT THE TIMING OF EVENTS.</t>
  </si>
  <si>
    <t>2YTFK752270557</t>
  </si>
  <si>
    <t>2YTFK752270560</t>
  </si>
  <si>
    <t>WOULD BE USED BY HUBBARD POLICE OFFICERS TO BE USED AS EVIDENCE-GATHERING AND DOCUMENTATION IN CRIME INVESTIGATIONS.  WOULD PHOTOGRAPH CRIME SCENES AND PRESERVE A VISUAL RECORD, EACH WOULD BE KEPT IN AN OFF SHIFT SUPERVISORS VEHICLE.</t>
  </si>
  <si>
    <t>2YTFK752270559</t>
  </si>
  <si>
    <t>WOULD BE USED BY HUBBARD POLICE OFFICERS TO BE USED AS EVIDENCE-GATHERING AND DOCUMENTATION IN CRIME INVESTIGATIONS.  WOULD PHOTOGRAPH CRIME SCENES AND PRESERVE A VISUAL RECORD.</t>
  </si>
  <si>
    <t>2YTFK752270561</t>
  </si>
  <si>
    <t>2YTFK752270562</t>
  </si>
  <si>
    <t>2YTFK751787074</t>
  </si>
  <si>
    <t>WOULD BE USED TO STORE HUBBARD POLICE OFFICER'S PATROL RIFLES FOR TRANSPORT ON DUTY IN OUR MARKED PATROL CARS OR TO TRAVEL ARMED FOR WORK, TAKING WEAPONS TO TRAINING.</t>
  </si>
  <si>
    <t>2YTFK752270552</t>
  </si>
  <si>
    <t>WOULD BE USED TO STORE HUBBARD POLICE AMMUNITION AND USED BY OFFICERS TO SAFELY TRANSPORT AMMO TO TRAINING.</t>
  </si>
  <si>
    <t>2YTFK752270554</t>
  </si>
  <si>
    <t>WOULD BE USED BY HUBBARD POLICE OFFICERS TO STORE SENSITIVE POLICE EQUIPMENT SUCH AS COMMUNICATION DEVICES, CAMERAS, OPTICS AND NIGHT VISION DEVICES.</t>
  </si>
  <si>
    <t>2YTFK752270550</t>
  </si>
  <si>
    <t>DSOUTMENS</t>
  </si>
  <si>
    <t>OUTERWEAR, MEN'S</t>
  </si>
  <si>
    <t>WOULD BE USED BY HUBBARD POLICE OFFICERS WHEN DUTY ASSIGNMENT REQUIRES PLAIN CLOTHES APPEARANCE AS WELL AS DAYS ASSIGNED TO TRAINING OR AT THE POLICE WEAPONS RANGE.</t>
  </si>
  <si>
    <t>2YTFK752270549</t>
  </si>
  <si>
    <t>WOULD BE USED BY HUBBARD POLICE OFFICERS WHEN DUTY ASSIGNMENT REQUIRES PLAIN CLOTHES AS WELL AS DAYS ASSIGNED TO TRAINING OR THE POLICE WEAPONS RANGE.</t>
  </si>
  <si>
    <t>2YTFK752341198</t>
  </si>
  <si>
    <t>WOULD BE USED BY HUBBARD POLICE OFFICERS ASSIGNED TO A PLAIN CLOTHES ASSIGNMENT AS WELL AS DAYS ASSIGNED TO TRAINING OR AT THE POLICE WEAPONS RANGE.</t>
  </si>
  <si>
    <t>2YTFK752341197</t>
  </si>
  <si>
    <t>2YTFK752341195</t>
  </si>
  <si>
    <t>2YTFK752270545</t>
  </si>
  <si>
    <t>WOULD BE USED BY HUBBARD POLICE OFFICERS WHEN DUTY ASSIGNMENTS INCLUDE THE NEED FOR PLAIN CLOTHES, AS WELL AS DAYS ASSIGNED TO TRAINING OR THE POLICE WEAPONS RANGE.</t>
  </si>
  <si>
    <t>2YTFK752270547</t>
  </si>
  <si>
    <t>2YTFK752270548</t>
  </si>
  <si>
    <t>2YTFK752270576</t>
  </si>
  <si>
    <t>WOULD BE USED BY HUBBARD POLICE OFFICERS TO CARRY THEIR GEAR INTO THE FIELD AS WELL AS TRANSPORTING AND STORING THEIR POLICE EQUIPMENT WHILE NOT IN USE.</t>
  </si>
  <si>
    <t>MEIGS COUNTY SHERIFF'S OFFICE (2YTHJZ)</t>
  </si>
  <si>
    <t>2YTHJZ52068344</t>
  </si>
  <si>
    <t>SO OFFICERS OF THE MEIGS COUNTY SHERIFF'S OFFICE CAN MOVE THEIR BOAT TO DIFFERENT BOAT RAMPS ON THE OHIO RIVER TO RESPOND TO ISSUES INVOLVING BARGES AND THE 2 DAMS IN OUR JURISDICTION AND THE OTHERS IN SURROUNDING COUNTIES FOR ACTIVE SHOOTER OR ANY OTHER TERRORISTIC THREATS.</t>
  </si>
  <si>
    <t>2YTHJZ51927549</t>
  </si>
  <si>
    <t>SO OFFICERS OF THE MEIGS COUNTY MAJOR CRIMES TASK FORCE CAN HAVE A VEHICLE TO LOCK THEIR ENTRY GEAR INSIDE FOR QUICKER RESPONSE FOR ACTIVE SHOOTER AND SCHOOL SHOOTING THREATS.</t>
  </si>
  <si>
    <t>2YTHJZ51787163</t>
  </si>
  <si>
    <t>FLOODLIGHT ASSEMBLY</t>
  </si>
  <si>
    <t>SO DETECTIVES AND DEPUTIES OF THE MEIGS COUNTY SHERIFF'S OFFICE CAN HAVE A LIGHT THAT THEY CAN USE TO PROCESS CRIME SCENES AFTER HOURS OR INSIDE A DARK BUILDING.</t>
  </si>
  <si>
    <t>2YTHJZ51857165</t>
  </si>
  <si>
    <t>SO OFFICERS OF THE MEIGS COUNTY SHERIFFS OFFICE CAN HAVE A BACK UP LIGHT THAT THEY CAN STORE IN THEIR CRUISER OR GO BAG THAT THEY CAN GRAB DURING ACTIVE SHOOTER, SCHOOL SHOOTING OR ANY OTHER SCENE WHERE THEY MAY NEED AN EXTRA FLASHLIGHT</t>
  </si>
  <si>
    <t>2YTHJZ52481388</t>
  </si>
  <si>
    <t>SO OFFICERS CAN CARRY THEIR LONG GUNS IN THEIR VEHICLE IN A LOCKABLE CASE TO HAVE AVAILABLE DURING ACTIVE SHOOTER AND SCHOOL SHOOTING SITUATIONS.</t>
  </si>
  <si>
    <t>2YTHJZ52622355</t>
  </si>
  <si>
    <t>SO DEPUTIES OF THE MEIGS COUNTY SHERIFFS OFFICE CAN BE ABLE TO RESCUE HUNTERS OR HIKERS THAT HAVE FALLEN DOWN STEEP HILL SIDES.  THEY CAN ALSO USE THEM IF THERE IS AN ACTIVE SHOOTER THAT IS IN THE WOODS IF WE NEED TO APPROACH THEM FROM A HILLSIDE.</t>
  </si>
  <si>
    <t>MONTVILLE POLICE DEPT (2YTHZ8)</t>
  </si>
  <si>
    <t>2YTHZ852481588</t>
  </si>
  <si>
    <t>FOR POLICE USE FOR WATER DISTRIBUTION DURING MULTI-AGENCY CRISES, WHERE HYDRATION IS ESSENTIAL TO MISSION READINESS.</t>
  </si>
  <si>
    <t>2YTHZ852623373</t>
  </si>
  <si>
    <t>FOR POLICE USE IN PATROLLING PARKS, AND RESPONDING RAPIDLY ACROSS LONG DISTANCES WHERE MOTOR VEHICLES ARE UNABLE TO ACCESS.</t>
  </si>
  <si>
    <t>2YTHZ852482087</t>
  </si>
  <si>
    <t>FOR POLICE USE, TO RUN ELECTRONIC EQUIPMENT WHILE ON SCENE AND AWAY FROM POWER SOURCES.</t>
  </si>
  <si>
    <t>2YTHZ852552085</t>
  </si>
  <si>
    <t>GENERATOR SET,GASOL</t>
  </si>
  <si>
    <t>2YTHZ852552090</t>
  </si>
  <si>
    <t>2YTHZ852411581</t>
  </si>
  <si>
    <t>TO BE USED BY POLICE PERSONNEL AND THE POLICE DEPARTMENT TO POWER MISSION ESSENTIAL EQUIPMENT IN AUSTERE ENVIRONMENTS REGARDING SEARCH AND RESCUE OPERATIONS.</t>
  </si>
  <si>
    <t>2YTHZ852481587</t>
  </si>
  <si>
    <t>2YTHZ852411582</t>
  </si>
  <si>
    <t>2YTHZ852481590</t>
  </si>
  <si>
    <t>FOR POLICE USE IN SECURING WEAPONS IN TRUNKS OF VEHICLES TO ENSURE THE INTEGRITY OF SECURITY, AS WELL AS EVIDENTIARY INTEGRITY IN THE CHAIN OF CUSTODY.</t>
  </si>
  <si>
    <t>2YTHZ852209440</t>
  </si>
  <si>
    <t>WANTED TO HOUSE POLICE AND LOCAL GOVERNMENTAL RADIO EQUIPMENT AND TO PROTECT ESSENTIAL COMMUNICATIONS ARRAYS FROM THE ENVIRONMENT.</t>
  </si>
  <si>
    <t>2YTHZ852209442</t>
  </si>
  <si>
    <t>STORAGE AND SECURING OF ITEMS FOR POLICE SHOOTING RANGE AND FOR STORAGE OF TRAINING AIDS.</t>
  </si>
  <si>
    <t>2YTHZ852481583</t>
  </si>
  <si>
    <t>PONCHO,WET WEATHER</t>
  </si>
  <si>
    <t>FOR POLICE USE TO KEEP PERSONNEL AND CRITICAL EQUIPMENT DRY DURING INCLEMENT WEATHER AND DURING POLICE OPERATIONS.</t>
  </si>
  <si>
    <t>2YTHZ852411592</t>
  </si>
  <si>
    <t>FOR POLICE USE IN TRANSPORTING ESSENTIAL SPECIALIZED EQUIPMENT, SUCH AS SWAT GEAR, TO AND FROM THE DEPARTMENT TO MULTI-AGENCY OPERATIONS.</t>
  </si>
  <si>
    <t>2YTHZ852623371</t>
  </si>
  <si>
    <t>FOR POLICE USE IN MAINTAINING SLEEPING QUARTERS FOR PERSONNEL DURING SHORT TURNAROUNDS TO UTILIZE IN GETTING ANY AMOUNT OF SLEEP PRIOR TO OTHER POLICE ACTIVITIES.</t>
  </si>
  <si>
    <t>2YTHZ852623376</t>
  </si>
  <si>
    <t>HYDRATION SYSTEM</t>
  </si>
  <si>
    <t>FOR POLICE USE, FOR OFFICERS TO HAVE AVAILABLE HYDRATION WHILE ON PATROL.</t>
  </si>
  <si>
    <t>2YTHZ852481585</t>
  </si>
  <si>
    <t>FOR POLICE PERSONNEL TO TRANSPORT CRITICAL GEAR TO AND FROM PATROL VEHICLES.</t>
  </si>
  <si>
    <t>2YTHZ852481591</t>
  </si>
  <si>
    <t>FOR POLICE USE IN TRANSPORTING ESSENTIAL PAPERWORK AND COMPUTERS FROM VEHICLES TO PROCESSING STATIONS TO INTAKE PRISONERS AND PERSONS IN CUSTODY.</t>
  </si>
  <si>
    <t>MOUNT ORAB POLICE DEPT (2YTH5S)</t>
  </si>
  <si>
    <t>2YTH5S51998050</t>
  </si>
  <si>
    <t>THE MT. ORAB POLICE DEPARTMENT WOULD LIKE TO ACQUIRE THIS UTILITY TRAILER. WE CURRENTLY DO NOT OWN A SMALLER UTILITY TRAILER AND HAVE TO USE A PERSONAL ONE TO HAUL THINGS BACK AND FORTH TO OUR RANGE SUCH AS, MOWERS, PROJECT SUPPLIES FROM THE LUMBER STORE, GENERATORS AND THIS SUCH AS THESE. THIS TRAILER APPEARS TO NEED SOME WORK BUT ONE OF OUR OFFICERS CAN FIX THE BRAKES AND GET THIS TRAILER OPERATIONAL.</t>
  </si>
  <si>
    <t>2YTH5S52340689</t>
  </si>
  <si>
    <t>DSTRACTO0</t>
  </si>
  <si>
    <t>TRACTOR, FULL TRACKED, LOW SPEED</t>
  </si>
  <si>
    <t>THE MT. ORAB POLICE DEPARTMENT WOULD LIKE TO ACQUIRE THIS BULL DOZER. THIS WOULD BE UTILIZED AT OUR OUTDOOR RANGE, WHERE WE ARE CONTINUING EXPANSION. WE HAVE A LARGE AMOUNT OF FILL DIRT COMING AND WILL NEED TO PUSH AND SPREAD THIS DIRT. THIS WILL HELP UPKEEP ON THE BRUSH AND OVERGROWN AREAS AS WELL THAT CAN NOT BE MOWED.</t>
  </si>
  <si>
    <t>2YTH5S52552558</t>
  </si>
  <si>
    <t>THE MT. ORAB POLICE DEPARTMENT WOULD LIKE TO ACQUIRE THIS SKID STEER BUCKET. WE WOULD LIKE TO HAVE A SMOOTH EDGE BUCKET LIKE THIS FOR OUR SKID STEER THAT WE ACQUIRED FROM THIS PROGRAM. THE BUCKET WOULD BE STORED AT OUR OUT DOOR RANGE AND MAKE IT TO HAVE THIS BUCKET AT THE RANGE FOR OUR CONTINUED PROJECTS TO OUR RANGE.</t>
  </si>
  <si>
    <t>2YTH5S52069006</t>
  </si>
  <si>
    <t>THE MT. ORAB POLICE DEPARTMENT WOULD LIKE TO ACQUIRE THIS EXHAUST FAN. WE WOULD LIKE TO UTILIZE THIS IN OUR NEW SHOOT HOUSE AS A WAY TO MOVE AIR. THIS WOULD BE MOUNTED ON THE SECOND FLOOR AND WOULD PULL AIR THROUGHOUT.</t>
  </si>
  <si>
    <t>2YTH5S52552560</t>
  </si>
  <si>
    <t>THE MT. ORAB POLICE DEPARTMENT WOULD LIKE TO ACQUIRE THIS AIR COMPRESSOR. WE WOULD STORE AND USE THIS IN OUR NEWLY BUILT GARAGE THAT WE HANDLE MUCH OF THE MAINTENANCE FOR OUR CRUISERS. THIS WOULD SAVE OUR DEPARTMENT THE COST OF HAVING TO PURCHASE A COMPRESSOR FOR OUR SHOP.</t>
  </si>
  <si>
    <t>2YTH5S52552561</t>
  </si>
  <si>
    <t>DSPROJEC0</t>
  </si>
  <si>
    <t>PROJECTOR, MOVIE</t>
  </si>
  <si>
    <t>THE MT. ORAB POLICE DEPARTMENT WOULD LIKE TO ACQUIRE THIS PROJECTOR. WE WOULD UTILIZE THIS IN OUR TRAINING ROOM. MANY OF OUR DEPARTMENT TRAININGS ARE EITHER VIDEOS OR POWER POINT BASED. THIS WOULD ALLOW US TO PROJECT THOSE IMAGES ON A MUCH LARGER SCREEN.</t>
  </si>
  <si>
    <t>2YTH5S52411372</t>
  </si>
  <si>
    <t>DSTABLE01</t>
  </si>
  <si>
    <t>TABLE, HOUSEHOLD</t>
  </si>
  <si>
    <t>THE MT. ORAB POLICE DEPARTMENT WOULD LIKE TO ACQUIRE THESE ROUND TABLES. WE WOULD LIKE TO ADD THESE TO OUR NEW BUILDING THAT WOULD ALLOW FOR OUR OFFICERS TO HAVE A PLACE TO SIT FOR BREAKS. THESE WOULD BE THE BEST SIZE FOR US TO NOT TAKE UP TOO MUCH SPACE.</t>
  </si>
  <si>
    <t>SARDINIA PD (2YTKSE)</t>
  </si>
  <si>
    <t>2YTKSE52279956</t>
  </si>
  <si>
    <t>THE SARDINIA POLICE DEPARTMENT HAS A RIFLEMAN MARKSMAN IN NEED OF THE REQUESTING RESOURCES TO CONDUCT RANGE QUALIFICATION, RIFLE ZEROING, AND RESCUE MISSIONS.  WITH LIMITED RESOURCES AND FUNDING, RECEIPT OF REQUESTED ITEMS WOULD REDUCE THE ADDITIONAL COST THAT SARDINIA POLICE DEPARTMENT WOULD FACE PURCHASING RESOURCES TO SUPPORT SARDINIA POLICE DEPARTMENT RIFLEMAN MARKSMAN. SARDINIA POLICE DEPARTMENT IS WILLING TO ACCEPT THE OPTICS IN THE CONDITION IN WHICH WE RECEIVE THEM.</t>
  </si>
  <si>
    <t>2YTKSE52340787</t>
  </si>
  <si>
    <t>THE SARDINIA POLICE DEPARTMENT IS REQUESTING UNMANNED AIRCRAFT SYSTEM RESOURCE TO ASSISTANCE IN SERVING WARRANTS, EMERGENCIES AND NATURAL DISASTERS, ASSESSING AN AREA BEFORE COMMITTING TO A SEARCH OR ENTRY, MAPPING OUTDOOR CRIME SCENE, STOLEN ITEMS AND LOCATING LOST PERSONNEL. WITH LIMITED RESOURCES AND FUNDING, RECEIPT OF REQUESTED ITEMS WOULD REDUCE THE ADDITIONAL COST SARDINIA POLICE DEPARTMENT WOULD FACE PURCHASING AN UNMANNED AIRCRAFT SYSTEM RESOURCE TO SUPPORT DURING CRITICAL SITUATIONS.</t>
  </si>
  <si>
    <t>2YTKSE52411147</t>
  </si>
  <si>
    <t>2YTKSE52411145</t>
  </si>
  <si>
    <t>2YTKSE52411148</t>
  </si>
  <si>
    <t>2YTKSE52411150</t>
  </si>
  <si>
    <t>2YTKSE51857312</t>
  </si>
  <si>
    <t>THE SARDINIA POLICE DEPARTMENT IS IN NEED OF A TRACTOR TRUCK RESOURCE TO AID AND SUSTAIN OPERATIONS DURING CRITICAL SITUATIONS. SARDINIA POLICE CURRENTLY DOES NOT HAVE A TRACTOR TRUCK TO TRANSPORT LARGER EQUIPMENT OR MULTIPLE ITEMS AT ONE TIME TO AND FROM COMMAND POSTS, STAGING AREAS OR CRITICAL SITUATIONS. RECEIPT OF THE REQUESTED TRACTOR TRUCK WOULD REDUCE THE CURRENT TRANSPORTATION COSTS SARDINIA POLICE DEPARTMENT WOULD OCCUR DURING CRITICAL SITUATIONS AND MOVING OR PICKING UP RESOURCES.</t>
  </si>
  <si>
    <t>2YTKSE52340469</t>
  </si>
  <si>
    <t>THE SARDINIA POLICE DEPARTMENT IS REQUESTING A SEMITRAILER,LOW BED RESOURCE FOR THE POLICE DEPARTMENTAL SIMI TRACTOR TRUCK TO TRANSPORT LARGER EQUIPMENT SUPPLIES OR RESOURCES FOR SARDINIA POLICE DEPARTMENT. WITH LIMITED AND NO ADDITIONAL FUNDING FOR ACCRUING THE NEEDED RESOURCE TO TRANSPORT LARGER EQUIPMENT SUPPLIES OR RESOURCES TO AND FROM COMMAND POSTS OR STAGING AREAS.  RECEIPT OF THE REQUESTED LARGER EQUIPMENT WOULD REDUCE THE TRANSPORT COSTS FOR SARDINIA POLICE DEPARTMENT.</t>
  </si>
  <si>
    <t>2YTKSE52209510</t>
  </si>
  <si>
    <t>THE SARDINIA POLICE DEPARTMENT IS REQUESTING RESOURCES THAT SARDINIA POLICE DEPARTMENT WILL UTILIZE PATROLLING AND FIRST RESPONDERS DURING EVENTS.  WITH LIMITED AND NO ADDITIONAL FUNDING RESOURCES AVAILABLE FOR SARDINIA POLICE TO OBTAIN RESOURCES FOR EVENTS, RECEIPT OF THE REQUESTED RESOURCES WOULD REDUCE THE COST FOR SARDINIA POLICE DEPARTMENT THAT WILL BE UTILIZED FOR PATROLLING AND FIRST RESPONDERS DURING EVENTS.</t>
  </si>
  <si>
    <t>2YTKSE51857414</t>
  </si>
  <si>
    <t>DSEARTHMO</t>
  </si>
  <si>
    <t>EARTH MOVING AND EXCAVATING EQUIPMENT</t>
  </si>
  <si>
    <t>THE SARDINIA POLICE DEPARTMENT IS REQUESTING RESOURCES ITEMS FOR THE POLICE TRAINING DEPARTMENT. WITH LIMITED AND NO ADDITIONAL FUNDING RESOURCES FOR ITEMS NEEDED TO BUILD AND MAINTAIN A POLICE DEPARTMENT FIREARM QUALIFYING RANGE. ADDITIONAL RESOURCES ARE NEEDED FOR MOVING DIRT AROUND THE RANGE AND ROUTINE MAINTENANCE THAT WOULD REDUCE THE OCCURRED COST FOR SARDINIA POLICE DEPARTMENT TO CONSTRUCT AND MAINTAIN A POLICE DEPARTMENT QUALIFYING RANGE.</t>
  </si>
  <si>
    <t>2YTKSE5197KM19</t>
  </si>
  <si>
    <t>2YTKSE52270091</t>
  </si>
  <si>
    <t>DSNIGHTVI</t>
  </si>
  <si>
    <t>NIGHT VISION EQUIP, EMIT, REFLECTED RAD</t>
  </si>
  <si>
    <t>THE SARDINIA POLICE DEPARTMENT IS REQUESTING RESOURCES FOR POLICE OFFICERS WITH DRUG INTERDICTION, AND CRIMINAL SURVEILLANCE SITUATIONS. WITH LIMITED RESOURCES AND NO SUPPLEMENTARY FUNDING, RECEIPT OF REQUESTED ITEMS WOULD REDUCE THE ADDITIONAL COST THAT SARDINIA POLICE DEPARTMENT WOULD OCCUR TO SUPPORT OFFICERS WITH THE ABILITY TO CONDUCT DRUG INTERDICTION, AND CRIMINAL SURVEILLANCE OPERATIONS.  SITE WAS CONTACTED WILL CONFIRM AND ACCEPT CONDITION OF NIGHT VISION DEVICES AND OR OPTICS.</t>
  </si>
  <si>
    <t>2YTKSE51786881</t>
  </si>
  <si>
    <t>THE SARDINIA POLICE DEPARTMENT IS REQUESTING TRAFFIC AND TRANSIT SIGNALS RESOURCES THAT WILL ASSIST WITH MAINTAINING TRAFFIC FLOW AND PUBLIC TRANSPORTATION SYSTEMS EFFICIENTLY. WITH NO ADDITIONAL FUNDING FOR THE REQUESTED RESOURCE. THE RESOURCE WOULD PROVIDE ESSENTIAL SERVICES HELPING TO STREAMLINE TRAFFIC MANAGEMENT, IMPROVE COMMUTER EXPERIENCES, AND ENHANCE PUBLIC SAFETY ALLOWING OFFICERS TO FOCUS ON THEIR PRIMARY OBJECTIVES WHILE ENSURING THEY HAVE THE NECESSARY RESOURCES AT THEIR DISPOSAL.</t>
  </si>
  <si>
    <t>2YTKSE52139573</t>
  </si>
  <si>
    <t>TRAINING AID,SMALL ARMS WEAPON</t>
  </si>
  <si>
    <t>SARDINIA POLICE DEPARTMENT IS REQUESTING RESOURCES FOR POLICE DEPARTMENT TRAINING ROOM TO TRAIN DEPARTMENT POLICE OFFICERS. WITH LIMITED AND NO ADDITIONAL FUNDING RESOURCES TO DEVELOP OR EQUIP A POLICE DEPARTMENT TRAINING ROOM. THIS REQUESTED ITEM WOULD REDUCE THE COST, ASSIST AND SUSTAIN SARDINIA POLICE DEPARTMENT TRAINING ROOM AND OFFICERS WITH CONTINUOUS STATE OF OHIO PEACE OFFICER MANDATED TRAINING FOR SARDINIA POLICE OFFICERS TO STAY QUALIFY WITH REQUIRED RAINING.</t>
  </si>
  <si>
    <t>2YTKSE52279827</t>
  </si>
  <si>
    <t>TRAINER,RIFLE-MARKSMANSHIP,LASER</t>
  </si>
  <si>
    <t>THE SARDINIA POLICE DEPARTMENT IS REQUESTING RESOURCES ITEMS IN THE TRAINING DEPARTMENT. WITH LIMITED AND NO ADDITIONAL FUNDING RESOURCES FOR ITEMS NEEDED TO QUALIFY OFFICERS AT THE FIRING RANGE. RECEIPT OF THE REQUESTED ITEM WOULD ASSIST, SUSTAIN, AND REDUCE THE COST FOR SARDINIA POLICE DEPARTMENT SAFETY ITEMS NEEDED TO CONDUCT SIMI AND YEARLY FIREARM QUALIFICATION FOR POLICE OFFICERS.</t>
  </si>
  <si>
    <t>2YTKSE52481539</t>
  </si>
  <si>
    <t>SARDINIA POLICE DEPARTMENT REQUESTING RESOURCES FOR POLICE OFFICERS THAT CAN BE ISSUED OUT FOR STORING THEIR DUTY POLICE SHOT GUNS AND PATROL RILES.  WITH LIMITED AND NO ADDITIONAL FUNDING RESOURCES FOR OFFICERS, RECEIPT OF 16 LARGE DUTY PELICAN CASES ITEMS WOULD REDUCE ADDITIONAL COST FOR SARDINIA POLICE DEPARTMENT TO SUPPLY THE NEEDED RESOURCE FOR EACH OFFICER TO STORE 8 SHOT GUNS AND 8 PATROL RILES.</t>
  </si>
  <si>
    <t>SUMMIT COUNTY SHERIFFS OFFICE (2YTLK5)</t>
  </si>
  <si>
    <t>2YTLK552622379</t>
  </si>
  <si>
    <t>WILL BE USED TO CLEAN AND MAINTAIN PATROL UNITS</t>
  </si>
  <si>
    <t>2YTLK552340669</t>
  </si>
  <si>
    <t>TO BE USED TO MAINTAIN THE DRONE FLEET</t>
  </si>
  <si>
    <t>2YTLK552209400</t>
  </si>
  <si>
    <t>THIS ITEM WILL BE ISSUED TO THE SWAT SNIPER FOR THE USE OF NIGHT TIME SURVEILLANCE AS WELL AS OVERWATCH DURING DARK HOURS OF THE DAY DURING DRUG WARRANT SERVICES .</t>
  </si>
  <si>
    <t>2YTLK552411712</t>
  </si>
  <si>
    <t>DSCHAIR02</t>
  </si>
  <si>
    <t>CHAIR, OFFICE</t>
  </si>
  <si>
    <t>WILL BE USED TO REPLACE OFFICE CHAIR'S IN THE TRAINING DIVISION</t>
  </si>
  <si>
    <t>2YTLK552410840</t>
  </si>
  <si>
    <t>DSSTOVE00</t>
  </si>
  <si>
    <t>STOVE</t>
  </si>
  <si>
    <t>WILL BE USED IN THE BREAK ROOM TO HEAT UP FOOD DURING THE DEPUTIES LUNCH TIMES</t>
  </si>
  <si>
    <t>2YTLK552270537</t>
  </si>
  <si>
    <t>PRECISION BASS</t>
  </si>
  <si>
    <t>HERE AT THE SHERIFF'S OFFICE WE HAVE A CALMING ROOM WHERE DEPUTIES CAN GO TO DECOMPRESS AND HAVE AN EMOTIONAL RESET.  THIS WOULD ADD TO THE ROOM FOR DEPUTIES CAN RELAX PRIOR TO RETURNING TO WORK AFTER A STRESSFUL INCIDENT.</t>
  </si>
  <si>
    <t>2YTLK552410873</t>
  </si>
  <si>
    <t>THIS WILL REPLACE THE VERY OLD BIKE THAT WE CURRENTLY HAVE FOR BIKE PATROL</t>
  </si>
  <si>
    <t>2YTLK552270534</t>
  </si>
  <si>
    <t>TO BE USED TO SECURE TRAINING WEAPONS DURING FIREARMS TRAINING WHEN THEY ARE NOT IN USE</t>
  </si>
  <si>
    <t>2YTLK552270536</t>
  </si>
  <si>
    <t>TO BE USED BY SPECIAL UNITS TO STORE AND TRANSPORTS SENSITIVE EQUIPMENT</t>
  </si>
  <si>
    <t>2YTLK552482152</t>
  </si>
  <si>
    <t>WILL BE ISSUED TO THE SPECIALTY UNITS TO STORE AND TRANSPORTS EQUIPMENT</t>
  </si>
  <si>
    <t>2YTLK552551879</t>
  </si>
  <si>
    <t>THIS ITEM WILL BE ISSUED TO THE SWAT SNIPERS TO OBSCURE THEIR POSITIONS WHILE ON SURVEILLANCE OPERATION FOR THE DRUG UNIT</t>
  </si>
  <si>
    <t>2YTLK552340672</t>
  </si>
  <si>
    <t>PARKA,WET WEATHER</t>
  </si>
  <si>
    <t>WILL BE USED AT THE OUTDOOR RANGE TO PROTECT THE INSTRUCTORS FROM THE RAIN</t>
  </si>
  <si>
    <t>2YTLK552410783</t>
  </si>
  <si>
    <t>TO BE USED BY INSTRUCTORS TO KEEP DRY DURING OUTDOOR TRAINING</t>
  </si>
  <si>
    <t>2YTLK552410784</t>
  </si>
  <si>
    <t>2YTLK552622382</t>
  </si>
  <si>
    <t>WILL BE ISSUED TO DEPUTIES TO KEEP THEM WARM DURING COLD WEATHER</t>
  </si>
  <si>
    <t>2YTLK552551880</t>
  </si>
  <si>
    <t>FOR THE TRAINING STAFF WHEN THE WEATHER IS COLD AND WET THIS WILL KEEP THEM DRY AND WARM</t>
  </si>
  <si>
    <t>2YTLK552410839</t>
  </si>
  <si>
    <t>TO BE ISSUED TO THE TACTICAL MEDICS TO CARRY LIFE SAVING EQUIPMENT DURING OPERATIONS AS WELL AS TRAINING</t>
  </si>
  <si>
    <t>2YTLK552410837</t>
  </si>
  <si>
    <t>THIS WILL BE USED TO STORE AND TRANSPORT LESS LETHAL AMMUNITION WHEN NOT IN USE</t>
  </si>
  <si>
    <t>2YTLK552410838</t>
  </si>
  <si>
    <t>THIS WILL BE ISSUED TO THE BIKE PATROL TO STAY HYDRATED DURING LONG PATROLS</t>
  </si>
  <si>
    <t>WAYNE COUNTY SHERIFF'S OFFICE (2YTNDR)</t>
  </si>
  <si>
    <t>2YTNDR51927614</t>
  </si>
  <si>
    <t>THE WAYNE COUNTY SHERIFF'S OFFICE WOULD LIKE TO REQUEST THIS ITEM. THE GOLF CART WOULD BE USED FOR MAINTENANCE AROUND THE JAIL, AND JUSTICE CENTER. ITS MAIN PURPOSE WOULD BE FOR RECRUITMENT EVENTS, AND COMMUNITY-ORIENTED POLICING EVENTS THAT ARE HELD THROUGHOUT THE YEAR, THROUGHOUT OUR COUNTY. ALL EMPLOYEES WOULD HAVE ACCESS TO THIS VEHICLE.</t>
  </si>
  <si>
    <t>WILLIAMSBURG POLICE DEPT (2YTNP7)</t>
  </si>
  <si>
    <t>2YTNP751928173</t>
  </si>
  <si>
    <t>TO BE USED FOR COMMUNITY EVENTS, WILL BE USED IN SEARCH AND RESCUE IN THE EAST FORK STATE PARK AND ALONG EAST FORK LITTLE MIAMI RIVER WHERE NORMAL VEHICLES CANNOT GET TO, AND DURING DISASTERS TO MOVE CRITICAL SUPPLY.</t>
  </si>
  <si>
    <t>2YTNP751786861</t>
  </si>
  <si>
    <t>TRAILER WOULD BE USED FOR STORING AND TRANSPORTING CRITICAL TRAFFIC CONTROL DEVICES, AND COMMUNITY AID IN THE EVENT OF A DISASTER TO GET CRITICAL SUPPLIES IN.</t>
  </si>
  <si>
    <t>OR</t>
  </si>
  <si>
    <t>DOUGLAS COUNTY SHERIFF OFFICE (2YTDET)</t>
  </si>
  <si>
    <t>2YTDET51786990</t>
  </si>
  <si>
    <t>THE DOUGLAS CSO REQUESTS THESE NVG MOUNTIING SYSTEM FOUR OUR TACTICAL TEAM FOR THE PURPOSE OF MOUNTING OUR NVG'S DURING NIGHT TIME OPERRATIONS.</t>
  </si>
  <si>
    <t>PA</t>
  </si>
  <si>
    <t>ADAMS TWP PD (2YTRSU)</t>
  </si>
  <si>
    <t>2YTRSU51997928</t>
  </si>
  <si>
    <t>THE ADAMS TWP PD WILL USE THE NIGHT VISION DEVICES DURING LOW LIGHT HIGH-RISK AND DRUG RELATED INCIDENTS.</t>
  </si>
  <si>
    <t>DANVILLE PD (2YTC4G)</t>
  </si>
  <si>
    <t>2YTC4G51786796</t>
  </si>
  <si>
    <t>HOOK,CHAIN,S</t>
  </si>
  <si>
    <t>TO BE USED BY DANVILLE POLICE DEPARTMENT TO HANG ITEMS INCLUDING TARGETS AND TRAINING DEVICES FROM SUSPENDED CABLES AND ALLOW THEM MOVEMENT IN TRAINING ENVIRONMENTS.</t>
  </si>
  <si>
    <t>2YTC4G51716279</t>
  </si>
  <si>
    <t>TO BE USED BY DANVILLE POLICE TO PROVIDE POWER AT REMOTE TRAINING SITES, PUBLIC EDUCATION EVENTS OR AT REMOTE RESPONSE SITES.  ALSO TO BE USED AS BACK UP POWER CELLS FOR TRAFFIC LIGHTS.</t>
  </si>
  <si>
    <t>2YTC4G52209394</t>
  </si>
  <si>
    <t>TO BE USED BY DANVILLE POLICE OFFICERS TO TRAIN FORCE ON FORCE WITH OTHER OFFICERS AND TRAINING PARTNERS IN A CONTROLLED AND SAFE ENVIRONMENT.</t>
  </si>
  <si>
    <t>2YTC4G51575296</t>
  </si>
  <si>
    <t>HAT, SUN</t>
  </si>
  <si>
    <t>TO BE USED BY DANVILLE POLICE DURING TACTICAL OPERATIONS IN WOODLANDS TO PREVENT SUN RELATED INJURY OR ILLNESS.  USED DURING TRAINING OPERATIONS TO PREVENT SUN RELATED INJURY OR ILLNESS.</t>
  </si>
  <si>
    <t>DUBOIS CITY POLICE DEPT (2YTDGB)</t>
  </si>
  <si>
    <t>2YTDGB52551805</t>
  </si>
  <si>
    <t>THE DUBOIS CITY POLICE DEPARTMENT REQUESTS A HMMWV TO SUPPORT OUR CRITICAL INCIDENT RESPONSE TEAM. OUR AGENCY CURRENTLY LACKS ANY TACTICAL VEHICLE. THIS ASSET WOULD PROVIDE PROTECTED MOBILITY FOR OFFICER RESPONSE AND CIVILIAN RESCUE DURING HIGH-RISK INCIDENTS SUCH AS ACTIVE SHOOTERS OR BARRICADED SUBJECTS, ULTIMATELY ENHANCING OFFICER SAFETY, RESPONSE CAPABILITY, AND PUBLIC PROTECTION.</t>
  </si>
  <si>
    <t>LUZERNE COUNTY SHERIFF DEPT (2YTG17)</t>
  </si>
  <si>
    <t>2YTG1752552720</t>
  </si>
  <si>
    <t>EAR MUFF</t>
  </si>
  <si>
    <t>EAR MUFFS ARE VITAL FOR HEARING PROTECTION DURING FIREARMS TRAINING AND LIVE FIRE EXERCISES, REDUCING LONG-TERM HEARING DAMAGE. THEYRE ALSO ESSENTIAL AROUND HELICOPTERS OR AIRCRAFT DURING DIGNITARY VISITS, WHERE NOISE LEVELS CAN BE EXTREME. PROVIDING PROPER HEARING PROTECTION ENSURES OFFICER SAFETY, HEALTH, AND OPERATIONAL READINESS.</t>
  </si>
  <si>
    <t>2YTG1752552722</t>
  </si>
  <si>
    <t>PROTECTOR,HEARING</t>
  </si>
  <si>
    <t>EAR MUFFS ARE VITAL FOR DEPUTIES HEARING PROTECTION DURING FIREARMS TRAINING AND LIVEFIRE EXERCISES, REDUCING LONG-TERM HEARING DAMAGE. THEYRE ALSO ESSENTIAL AROUND HELICOPTERS OR AIRCRAFT DURING DIGNITARY VISITS, WHERE NOISE LEVELS CAN BE EXTREME. PROVIDING PROPER HEARING PROTECTION ENSURES OFFICER SAFETY, HEALTH, AND OPERATIONAL READINESS.</t>
  </si>
  <si>
    <t>2YTG1752552716</t>
  </si>
  <si>
    <t>SCREW,WOOD</t>
  </si>
  <si>
    <t>WOOD SCREWS ARE ESSENTIAL FOR SECURELY BUILDING TRAINING WALLS OR ROOMS USED IN TACTICAL EXERCISES, IMPROVING OFFICER READINESS.THEYRE ALSO NEEDED TO CONSTRUCT BOOTHS AND GAMES FOR THE SHERIFFS CARNIVAL, WHICH FOSTERS POSITIVE COMMUNITY ENGAGEMENT.THEIR STRENGTH AND VERSATILITY MAKE THEM IDEAL FOR BOTH TRAINING INFRASTRUCTURE AND OUTREACH EVENT SETUP.</t>
  </si>
  <si>
    <t>2YTG1752552731</t>
  </si>
  <si>
    <t>WET WEATHER GEAR KEEPS DEPUTIES DRY DURING RAIN OR STORM EVENTS.STAYING DRY HELPS MAINTAIN COMFORT AND FOCUS PREVENTING ILLNESS DURING LONG HOURS OUTSIDE.PROPER GEAR ENSURES THEY REMAIN EFFECTIVE AND MOBILE IN CHALLENGING ENVIRONMENTS. WET WEATHER GEAR IS NOT JUST ABOUT KEEPING DEPUTIES DRY ITS ENSURING SAFETY AND STRENGTHENING COMMUNITY RELATIONSHIPS DURING INCLEMENT WEATHER.</t>
  </si>
  <si>
    <t>2YTG1752552729</t>
  </si>
  <si>
    <t>2YTG1752552728</t>
  </si>
  <si>
    <t>2YTG1752552740</t>
  </si>
  <si>
    <t>TROUSERS,COLD WEATH</t>
  </si>
  <si>
    <t>COLD WEATHER GEAR IS ESSENTIAL FOR A STAFF OF 50 SHERIFF'S DEPUTIES TO OPERATE SAFELY AND EFFECTIVELY DURING SNOWSTORMS, MISSING PERSON SEARCHES, AND WHILE HELPING STRANDED MOTORISTS. WINTER CONDITIONS POSE SERIOUS RISKS LIKE HYPOTHERMIA AND FROSTBITE. PROPER GEAR ENSURES ALL PERSONNEL CAN PERFORM CRITICAL DUTIES, RESPOND TO EMERGENCIES, AND SAVE LIVES WITHOUT ENDANGERING THEIR OWN HEALTH IN EXTREME COLD.</t>
  </si>
  <si>
    <t>2YTG1752552715</t>
  </si>
  <si>
    <t>WET WEATHER GEAR KEEPS DEPUTIES DRY DURING RAIN OR STORM EVENTS.STAYING DRY HELPS MAINTAIN COMFORT AND FOCUS PREVENTING ILLNESS DURING LONG HOURS OUTSIDE.PROPER GEAR ENSURES THEY REMAIN EFFECTIVE AND MOBILE IN CHALLENGING ENVIRONMENTS.SEEING DEPUTIES PREPARED AND PROFESSIONAL IN ALL CIRCUMSTANCES BUILDS PUBLIC TRUST.WET WEATHER GEAR IS NOT JUST ABOUT KEEPING DEPUTIES DRY ITS ENSURING SAFETY AND STRENGTHENING COMMUNITY RELATIONSHIPS DURING INCLEMENT WEATHER.</t>
  </si>
  <si>
    <t>2YTG1752552738</t>
  </si>
  <si>
    <t>2YTG1752552737</t>
  </si>
  <si>
    <t>2YTG1752552753</t>
  </si>
  <si>
    <t>2YTG1752552766</t>
  </si>
  <si>
    <t>WET WEATHER GEAR WILL KEEP OUR 50 DEPUTIES DRY DURING RAIN OR STORM EVENTS.STAYING DRY HELPS MAINTAIN COMFORT AND FOCUS PREVENTING ILLNESS DURING LONG HOURS OUTSIDE.PROPER GEAR ENSURES THEY REMAIN EFFECTIVE AND MOBILE IN CHALLENGING ENVIRONMENTS. WET WEATHER GEAR IS NOT JUST ABOUT KEEPING DEPUTIES DRY ITS ENSURING SAFETY AND STRENGTHENING COMMUNITY RELATIONSHIPS DURING INCLEMENT WEATHER.</t>
  </si>
  <si>
    <t>2YTG1752552765</t>
  </si>
  <si>
    <t>2YTG1752552763</t>
  </si>
  <si>
    <t>2YTG1752552762</t>
  </si>
  <si>
    <t>2YTG1752552761</t>
  </si>
  <si>
    <t>2YTG1752552760</t>
  </si>
  <si>
    <t>2YTG1752552758</t>
  </si>
  <si>
    <t>2YTG1752552757</t>
  </si>
  <si>
    <t>2YTG1752552754</t>
  </si>
  <si>
    <t>2YTG1752552736</t>
  </si>
  <si>
    <t>2YTG1752552752</t>
  </si>
  <si>
    <t>2YTG1752552733</t>
  </si>
  <si>
    <t>2YTG1752552741</t>
  </si>
  <si>
    <t>2YTG1752552742</t>
  </si>
  <si>
    <t>2YTG1752552743</t>
  </si>
  <si>
    <t>2YTG1752552744</t>
  </si>
  <si>
    <t>2YTG1752552747</t>
  </si>
  <si>
    <t>COAT,COLD WEATHER</t>
  </si>
  <si>
    <t>2YTG1752552748</t>
  </si>
  <si>
    <t>2YTG1752552750</t>
  </si>
  <si>
    <t>2YTG1752552751</t>
  </si>
  <si>
    <t>2YTG1752552769</t>
  </si>
  <si>
    <t>LINER,WATERPROOF</t>
  </si>
  <si>
    <t>WATERPROOF LINERS ARE ESSENTIAL FOR PROTECTING EQUIPMENT AND EVIDENCE IN DEPUTY GEAR BAGS DURING MARINE OPERATIONS AND INCLEMENT WEATHER. WHEN WORKING ON BOATS OR IN RAIN, GEAR CAN BE EXPOSED TO WATER, RISKING DAMAGE TO ELECTRONICS, DOCUMENTS, AND SUPPLIES. LINERS ENSURE CRITICAL ITEMS REMAIN DRY AND FUNCTIONAL, SUPPORTING EFFECTIVE LAW ENFORCEMENT OPERATIONS IN ALL CONDITIONS.</t>
  </si>
  <si>
    <t>MILLCREEK TWP POLICE DEPT ERIE (2YTHRJ)</t>
  </si>
  <si>
    <t>2YTHRJ51505380</t>
  </si>
  <si>
    <t>THESE SAFETY GOOGLES WOULD PROVIDED NEEDED EYE PROTECTION FOR MEMBERS OF THE POLICE DEPARTMENTS SWAT TEAM.</t>
  </si>
  <si>
    <t>RINGGOLD SCHOOL DIST. PD K-12 (2YTR83)</t>
  </si>
  <si>
    <t>2YTR8351857809</t>
  </si>
  <si>
    <t>POLICE DEPARTMENT WOULD ISSUE THESE FLASHLIGHTS TO POLICE AND SECURITY OFFICERS WORKING FOR THE DEPARTMENT.</t>
  </si>
  <si>
    <t>SPRINGFIELD TOWNSHIP POLICE DEPT (2YTLEC)</t>
  </si>
  <si>
    <t>2YTLEC52209327</t>
  </si>
  <si>
    <t>PROPELLER,MARINE</t>
  </si>
  <si>
    <t>THE SPRINGFIELD TOWNSHIP POLICE DEPARTMENT IS SITUATED NEAR THE DELAWARE RIVER, THEREFORE OPERATES A SMALL RESCUE BOAT NEEDED FOR TIGHT SPACES.  IN DOING SO, PROPELLER DAMAGE IS A CONSTANT HAZARD.  HAVING SPARE PROPELLERS WOULD GIVE US THE ABILITY TO CONTINUE RESCUE EFFORTS AND MAINTAIN FUNCTIONALITY.  THESE UNITS WOULD BE KEPT WITH THE BOAT RIG AND BE AVAILABLE FOR REPLACEMENT DEPLOYMENT AT ALL TIMES.</t>
  </si>
  <si>
    <t>2YTLEC52139328</t>
  </si>
  <si>
    <t>ULTRASOUND SYSTEM,P</t>
  </si>
  <si>
    <t>THE SPRINGFIELD TOWNSHIP POLICE DEPARTMENT WOULD BE ABLE TO UTILIZE THIS EQUIPMENT FOR INVESTIGATIVE PURPOSES FOR SUSPICIOUS BAGS AND OTHER CONTAINERS OF UNKNOWN CONTENTS.  X-RAY MACHINES ARE BULKY AND NOT RELIABLE.  THIS EQUIPMENT WOULD BE A MORE ROBUST OPTION FOR OUT INVESTIGATIVE PURPOSES.  THEY WOULD BE KEPT IN THE EVIDENCE VAULT UNTIL NEEDED.  MY EXPERIENCE WITH CONDITION H ELECTRONIC EQUIPMENT SUGGESTS I REQUEST 2 IN ORDER TO HAVE SPARE PARTS AS WELL AS THE CHANCE TO FILL MISSING PARTS.</t>
  </si>
  <si>
    <t>STATE POLICE DEPT (2YTJA9)</t>
  </si>
  <si>
    <t>2YTJA952279697</t>
  </si>
  <si>
    <t>KNIFE, COMBAT</t>
  </si>
  <si>
    <t>PSP WILL USE THIS ITEM FOR WOODED TERRAIN SEARCHES AND WARRANT SERVICES.</t>
  </si>
  <si>
    <t>2YTJA952411389</t>
  </si>
  <si>
    <t>PSP WILL USE THESE FOR BARRICADED GUN MEN CALLS AND HIGH RISK WARRANT SERVICES.</t>
  </si>
  <si>
    <t>2YTJA952340168</t>
  </si>
  <si>
    <t>PSP WILL USE THESE ON HIGH RISK WARRANT SERVICES AND BARRICADED GUN MEN CALLS.</t>
  </si>
  <si>
    <t>2YTJA952279674</t>
  </si>
  <si>
    <t>PSP WILL USE THESE FOR WARRANT SERVICES AND OTHER HIGH RISK CALLS.</t>
  </si>
  <si>
    <t>2YTJA952279709</t>
  </si>
  <si>
    <t>PSP WILL USE THESE ITEMS FOR WEAPONS MAINTENANCE.</t>
  </si>
  <si>
    <t>2YTJA952068567</t>
  </si>
  <si>
    <t>TOOL KIT,AIRCRAFT MAINTENANCE</t>
  </si>
  <si>
    <t>TOOL KITS TO BE USED BY PA STATE POLICE PERSONNEL FOR MAINTENANCE OF MISSION CRITICAL VEHICLES AND EQUIPMENT</t>
  </si>
  <si>
    <t>2YTJA952069116</t>
  </si>
  <si>
    <t>PSP WILL UTILIZE THESE ITEMS TO ENHANCE SAFETY WHEN CONDUCTING WOODED TERRAIN SEARCHES, HIGH RISK WARRANT SERVICES AND BARRICADED GUN MEN CALLS.</t>
  </si>
  <si>
    <t>2YTJA952068969</t>
  </si>
  <si>
    <t>THE PA STATE POLICE SERT TEAM WILL USE THESE FOR INTERNAL TEAM COMMUNICATIONS WHILE CONDUCTING WARRANT SERVICES AND BARRICADED GUN MEN CALLS.</t>
  </si>
  <si>
    <t>2YTJA952340881</t>
  </si>
  <si>
    <t>PSP WILL USE THESE FOR COMMUNICATIONS WHILE CONDUCTING HIGH RISK WARRANT SERVICES AND BARRICADED GUN MEN CALLS.</t>
  </si>
  <si>
    <t>2YTJA952340655</t>
  </si>
  <si>
    <t>PSP WILL USE THESE FOR COMMUNICATIONS DURING HIGH RISK WARRANT SERVICES AND BARRICADED GUN MEN CALLS.</t>
  </si>
  <si>
    <t>2YTJA952340654</t>
  </si>
  <si>
    <t>2YTJA952410879</t>
  </si>
  <si>
    <t>2YTJA952410813</t>
  </si>
  <si>
    <t>PSP WILL USE THESE ITEMS FOR BARRICADED GUN MEN CALLS AND WARRANT SERVICES.</t>
  </si>
  <si>
    <t>2YTJA952190062</t>
  </si>
  <si>
    <t>COLD WEATHER PANTS TO BE USED BY PA STATE POLICE SERT PERSONNEL DURING HIGH RISK INCIDENTS IN INCLEMENT WEATHER</t>
  </si>
  <si>
    <t>2YTJA952190060</t>
  </si>
  <si>
    <t>COLD WEATHER JACKET TO BE USED BY PA STATE POLICE SERT PERSONNEL DURING HIGH RISK INCIDENTS IN INCLEMENT WEATHER</t>
  </si>
  <si>
    <t>2YTJA952190063</t>
  </si>
  <si>
    <t>WARRINGTON TWP PD (2YTM8V)</t>
  </si>
  <si>
    <t>2YTM8V52068322</t>
  </si>
  <si>
    <t>WILL BE USED AND HELD BY THE WARRINGTON TOWNSHIP POLICE DEPARTMENT TO ASSIST IN CLEANING AND MAINTAINING THE LENSES OF POLICE BODY WORN CAMERAS, EVIDENCE CAMERAS, OPTIC SIGHTS ON ISSUED PATROL RIFLES AND HANDGUNS. THIS WILL ENSURE ACCURATE DOCUMENTATION OF INCIDENTS AND SAFE TARGET IDENTIFICATION.</t>
  </si>
  <si>
    <t>MUNICIPAL POLICE SAN SEBASTIAN (2YT0RU)</t>
  </si>
  <si>
    <t>2YT0RU51504645</t>
  </si>
  <si>
    <t>THE ELECTRONIC BULLETIN BOARD WILL BE USED AT THE MUNICIPAL POLICE STATION TO ANNOUNCE VARIOUS EVENTS, ACTIVITIES, ROAD CLOSURES, LANDSLIDES, AND EMERGENCY SITUATIONS.</t>
  </si>
  <si>
    <t>2YT0RU51504640</t>
  </si>
  <si>
    <t>IT WILL BE USED TO PROVIDE PREVENTIVE SURVEILLANCE DURING VARIOUS ACTIVITIES AND TO SUPERVISE MUNICIPAL POLICE PERSONNEL WORKING IN THESE ACTIVITIES WHERE VEHICLE TRAFFIC IS DIFFICULT DUE TO THE NUMBER OF PEOPLE INVOLVED.</t>
  </si>
  <si>
    <t>SC</t>
  </si>
  <si>
    <t>ATLANTIC BEACH POLICE DEPT (2YTQD9)</t>
  </si>
  <si>
    <t>2YTQD951998166</t>
  </si>
  <si>
    <t>ABPD IS IN NEED OF 2 TOOL BOXES TO BE USED FOR MULTI-PURPOSE STORAGE FOR THE DEPARTMENT'S SUPPLY UNIT.</t>
  </si>
  <si>
    <t>2YTQD951998165</t>
  </si>
  <si>
    <t>ABPD IS IN NEED OF 2 TOOL BOXES TO BE USED FOR EVIDENCE MANAGEMENT PURPOSES RANGING FROM STORING SUPPLIES TO PROCESSING EVIDENCE.</t>
  </si>
  <si>
    <t>BATESBURG-LEESVILLE POLICE DEPT (2YTAX5)</t>
  </si>
  <si>
    <t>2YTAX552623091</t>
  </si>
  <si>
    <t>OFFICERS OF THE BATESBURG-LEESVILLE PD WILL BE ISSUED THESE TO KEEP ON THEIR PERSON AND IN THEIR PATROL BAGS TO USE IN TIMES OF EMERGENCY WHEN BELTS NEED TO BE CUT.</t>
  </si>
  <si>
    <t>CLINTON POLICE DEPARTMENT (2YTCJX)</t>
  </si>
  <si>
    <t>2YTCJX52481559</t>
  </si>
  <si>
    <t>ITEM REQUESTED BY CLINTON PD TO BE USED BY CLINTON PD OFFICERS FOR EVIDENCE COLLECTION.</t>
  </si>
  <si>
    <t>2YTCJX52411560</t>
  </si>
  <si>
    <t>DORCHESTER COUNTY SHERIFFS OFFICE (2YTDEG)</t>
  </si>
  <si>
    <t>2YTDEG51998469</t>
  </si>
  <si>
    <t>DSROBTEOD</t>
  </si>
  <si>
    <t>EOD ROBOT</t>
  </si>
  <si>
    <t>EOD ROBOT REQUESTED BY THE DORCHESTER COUNTY SHERIFF'S OFFICE, FOR USE BY DORCHESTER SO BOMB TECH FOR BOMB CALL INCIDENTS.</t>
  </si>
  <si>
    <t>HAMPTON COUNTY SHERIFF OFFICE (2YTE20)</t>
  </si>
  <si>
    <t>2YTE2052551912</t>
  </si>
  <si>
    <t>GENERATOR REQUESTED BY HAMPTON COUNTY SHERIFF'S OFFICE, FOR USE BY HAMPTON COUNTY SHERIFF'S OFFICERS, FOR POWER GENERATION IN THE EVENT OF GRID FAILURE.</t>
  </si>
  <si>
    <t>2YTE2052551908</t>
  </si>
  <si>
    <t>2YTE2051010640</t>
  </si>
  <si>
    <t>GENERATORS ARE REQUESTED BY HAMPTON COUNTY SHERIFF'S OFFICE, FOR USE BY THE HAMPTON COUNTY SHERIFF'S OFFICE, FOR POWER GENERATION IN THE EVENT OF GRID FAILURE.</t>
  </si>
  <si>
    <t>HOLLY HILL PD (2YTRSD)</t>
  </si>
  <si>
    <t>2YTRSD52340279</t>
  </si>
  <si>
    <t>THIS PASSENGER MOTOR VEHICLE IS REQUESTED BY HOLLY HILL PD, FOR USE BY HOLLY HILL PD OFFICERS DURING SEARCH AND RESCUE MISSIONS AND OFF ROAD FUGITIVE APPREHENSION.</t>
  </si>
  <si>
    <t>2YTRSD52068766</t>
  </si>
  <si>
    <t>THIS PASSENGER MOTOR VEHICLE IS REQUESTED BY HOLLY HILL PD, FOR USE BY HOLLY HILL PD OFFICERS TO PATROL THE DOWN TOWN AREAS WHERE NORMAL VEHICLES CAN NOT FIT.</t>
  </si>
  <si>
    <t>2YTRSD52270280</t>
  </si>
  <si>
    <t>THIS TRAILER IS REQUESTED BY HOLLY HILL PD, FOR USE BY HOLLY HILL PD OFFICERS TO CARRY PD EQUIPMENT TO VARIOUS SCENES.</t>
  </si>
  <si>
    <t>2YTRSD52551918</t>
  </si>
  <si>
    <t>THIS GENERATOR SET, DIESEL ENGINE, TRAILER MOUNT IS REQUESTED BY HOLLY HILL PD, FOR USE BY HOLLY HILL PD OFFICERS TO POWER PD EQUIPMENT IN THE EVENT OF A POWER OUTAGE OR ON VARIOUS SCENES SUCH AS SEARCH AND RESCUE.</t>
  </si>
  <si>
    <t>LAW ENFORCEMENT DIVISION (2YTKTH)</t>
  </si>
  <si>
    <t>2YTKTH51504679</t>
  </si>
  <si>
    <t>THE SOUTH CAROLINA LAW ENFORCEMENT DIVISION WOULD LIKE TO REQUEST THESE GLASSES FOR USE BY OUR LAW ENFORCEMENT AGENTS TO PROTECT THEIR EYES DURING TRAINING, CALLOUTS, AND GENERAL DAY TO DAY LAW ENFORCEMENT ACTIVITY.</t>
  </si>
  <si>
    <t>PICKENS CSO (2YTJL9)</t>
  </si>
  <si>
    <t>2YTJL952340208</t>
  </si>
  <si>
    <t>THE PICKENS COUNTY SHERIFF'S OFFICE SPECIAL OPERATIONS, ALONG WITH SWAT TEAM, IS ACQUIRING THESE INTERNS TO ENHANCE THE SAFETY OF OUR DEPUTIES. THIS WILL ALLOW THEM TO POSITIVELY IDENTIFY LOCATIONS AND TARGETS, BUILDINGS, AND OTHER LOCATIONS WHILE USING NIGHT VISION, THEREBY REDUCING THE RISK OF VERBAL COMMUNICATION THAT COULD EXPOSE THEM TO POTENTIAL THREATS. I ACKNOWLEDGE AND ACCEPT THE CODE H.</t>
  </si>
  <si>
    <t>2YTJL952551885</t>
  </si>
  <si>
    <t>THE PICKENS COUNTY SHERIFF'S OFFICE SPECIAL OPERATIONS, ALONG WITH SWAT TEAM, IS ACQUIRING THESE INTERNS TO ENHANCE THE SAFETY OF OUR DEPUTIES. THIS WILL ALLOW THEM TO POSITIVELY IDENTIFY LOCATIONS AND TARGETS, BUILDINGS, AND OTHER LOCATIONS WHILE USING NIGHT VISION, THEREBY REDUCING THE RISK OF VERBAL COMMUNICATION THAT COULD EXPOSE THEM TO POTENTIAL THREATS. I ACKNOWLEDGE AND ACCEPT THE CODE F.</t>
  </si>
  <si>
    <t>2YTJL952410811</t>
  </si>
  <si>
    <t>THE PICKENS COUNTY SHERIFF'S OFFICE SPECIAL OPERATIONS, ALONG WITH SWAT TEAM, IS ACQUIRING THESE INTERNS TO ENHANCE THE SAFETY OF OUR DEPUTIES. THIS WILL ALLOW THEM TO POSITIVELY IDENTIFY LOCATIONS AND TARGETS, BUILDINGS, AND OTHER LOCATIONS WHILE USING NIGHT VISION, THEREBY REDUCING THE RISK OF VERBAL COMMUNICATION THAT COULD EXPOSE THEM TO POTENTIAL THREATS.</t>
  </si>
  <si>
    <t>2YTJL952410812</t>
  </si>
  <si>
    <t>2YTJL952410810</t>
  </si>
  <si>
    <t>2YTJL952551883</t>
  </si>
  <si>
    <t>SC CRIMINAL JUSTICE ACADEMY (2YTQS6)</t>
  </si>
  <si>
    <t>2YTQS652139460</t>
  </si>
  <si>
    <t>THESE CASES ARE REQUESTED BY THE SC CRIMINAL JUSTICE ACADEMY, FOR USE BY SCCJA INSTRUCTORS TO TRANSPORT SENSITIVE AND FRAGILE TRAINING EQUIPMENT TO AND FROM TRAINING SITE LOCATIONS.</t>
  </si>
  <si>
    <t>SC DPS (2YTKTF)</t>
  </si>
  <si>
    <t>2YTKTF52551766</t>
  </si>
  <si>
    <t>UTILITY VEHICLE,OFF ROAD</t>
  </si>
  <si>
    <t>REQUESTED BY SCDPS TO BE USED BY SCDPS LAW ENFORCEMENT OFFICERS AS A UTILITY VEHICLE TO HAUL RANGE GEAR BETWEEN RANGES.</t>
  </si>
  <si>
    <t>2YTKTF52551767</t>
  </si>
  <si>
    <t>CART,GOLF</t>
  </si>
  <si>
    <t>REQUESTED BY SCDPS TO BE USED BY SCDPS LAW ENFORCEMENT OFFICERS AS A GOLF CART TO TRANSPORT PERSONNEL DURING SPECIAL EVENTS.</t>
  </si>
  <si>
    <t>2YTKTF51998444</t>
  </si>
  <si>
    <t>DSBLOWER0</t>
  </si>
  <si>
    <t>BLOWER, LANDSCAPE</t>
  </si>
  <si>
    <t>REQUESTED BY SCDPS TO BE USED BY SCDPS LAW ENFORCEMENT OFFICERS ASSIGNED TO THE FLEET SHOP OR COMMUNICATIONS TO CLEAN WORK BAYS.</t>
  </si>
  <si>
    <t>2YTKTF52340233</t>
  </si>
  <si>
    <t>CREEPER,MECHANIC'S</t>
  </si>
  <si>
    <t>REQUESTED BY SCDPS TO BE USED BY SCDPS LAW ENFORCEMENT OFFICERS ASSIGNED TO THE COMMERCIAL MOTOR VEHICLE UNIT AS A TOOL TO ASSIST IN CONDUCTING VEHICLE INSPECTIONS.</t>
  </si>
  <si>
    <t>2YTKTF52138797</t>
  </si>
  <si>
    <t>REQUESTED BY SCDPS TO BE USED BY SCDPS LAW ENFORCEMENT OFFICERS ASSIGNED TO THE ACCIDENT RECONSTRUCTION UNIT AND FLEET SHOP AS HAND TOOLS.</t>
  </si>
  <si>
    <t>2YTKTF52068443</t>
  </si>
  <si>
    <t>REQUESTED BY SCDPS TO BE USED BY SCDPS LAW ENFORCEMENT OFFICERS AS SPEAKERS DURING RANGE AND TRAINING EXERCISES.</t>
  </si>
  <si>
    <t>2YTKTF52551773</t>
  </si>
  <si>
    <t>DSHHMISPE</t>
  </si>
  <si>
    <t>HAND, HEADSETS, MICS AND SPEAKERS</t>
  </si>
  <si>
    <t>REQUESTED BY SCDPS TO BE USED BY SCDPS LAW ENFORCEMENT OFFICERS AS SPEAKER TO BE USED AT THE RANGE AND TRAINING ACTIVITIES.</t>
  </si>
  <si>
    <t>2YTKTF52532449</t>
  </si>
  <si>
    <t>REQUESTED BY SCDPS TO BE USED BY SCDPS LAW ENFORCEMENT OFFICERS ASSIGNED TO THE SPECIAL OPERATIONS UNIT AS A PACK TO STORE DUTY AND RANGE EQUIPMENT.</t>
  </si>
  <si>
    <t>2YTKTF52532448</t>
  </si>
  <si>
    <t>SD</t>
  </si>
  <si>
    <t>MINNEHAHA COUNTY SHERIFF DEPT (2YTHTJ)</t>
  </si>
  <si>
    <t>2YTHTJ51857332</t>
  </si>
  <si>
    <t>I AM REQUESTING 15 ILLUMINATORS FOR THE MINNEHAHA COUNTY SO TO BE ASSIGNED TO SWAT, WARRANT TASK FORCE AND HIDTA NARCOTICS DETECTIVES TO BE USED IN COUNTER DRUG, COUNTER TERRORISM, SOFT TARGET, AND DIGNITARY PROTECTION, HOSTAGE RESCUE, SEARCH AND RESCUE AND OTHER LE ROLES. I HAVE CONTACTED A REPRESENTATIVE FROM DLA DS TUCSON, VIEWED PHOTOS AND I AM SATISFIED WITH THE CONDITION OF THE ITEM.</t>
  </si>
  <si>
    <t>TN</t>
  </si>
  <si>
    <t>BRISTOL POLICE DEPT (2YTBJQ)</t>
  </si>
  <si>
    <t>2YTBJQ51504510</t>
  </si>
  <si>
    <t>I AM THE SUPPORT SERVICES CAPTAIN FOR THE BRISTOL TENNESSEE POLICE DEPARTMENT WHICH IS A LAW ENFORCEMENT AGENCY IN NORTHEAST TENNESSEE. I CAME ACROSS THIS VAN WHICH WOULD ASSIST OUR DEPARTMENT IN ALLOWING OFFICERS TO ATTEND TRAINING OPPORTUNITIES OUT OF TOWN LIKE COUNTERTERRORISM.</t>
  </si>
  <si>
    <t>2YTBJQ52068336</t>
  </si>
  <si>
    <t>THE BRISTOL TENNESSEE POLICE DEPARTMENT WOULD USE ONE OF THESE VEHICLES FOR OUR DRUG ENFORCEMENT UNIT IN AN UNDERCOVER ROLE TO HELP COMBAT THE WAR ON DRUGS BY BLENDING IN. THE OTHER WOULD BE USED BY A SCHOOL RESOURCE OFFICER TO DETER CRIME AND ACTIVE SHOOTER SITUATIONS AT THEIR ASSIGNED SCHOOL.</t>
  </si>
  <si>
    <t>2YTBJQ51645615</t>
  </si>
  <si>
    <t>AM THE SUPPORT SERVICES CAPTAIN FOR THE BRISTOL TENNESSEE POLICE DEPARTMENT WHICH IS A LAW ENFORCEMENT AGENCY IN NORTHEAST TENNESSEE. I SEARCH THE RTD SITE FOR EQUIPMENT THAT COULD BENEFIT OUR DEPARTMENT IN OUR DAILY LAW ENFORCEMENT DUTIES. WHILE SEARCHING THE RTD SITE, I CAME ACROSS THIS VAN THAT WOULD HELP WHEN WE HAVE DRUG WARRANT ROUND-UPS, WHEN WE ARE PLANNING HIGH RISK SEARCH WARRANTS, TO TRANSPORT THOSE ARRESTED DURING THESE OPERATIONS WHILE PROVIDING OUR OFFICERS WITH SAFETY.</t>
  </si>
  <si>
    <t>2YTBJQ51504502</t>
  </si>
  <si>
    <t>I AM THE SUPPORT SERVICES CAPTAIN FOR THE BRISTOL TENNESSEE POLICE DEPARTMENT WHICH IS A LAW ENFORCEMENT AGENCY IN NORTHEAST TENNESSEE. THIS VEHICLE WHICH WOULD ASSIST OUR DEPARTMENT IN UNDERCOVER SURVEILLANCE TO COMBAT THE WAR ON DRUGS BY REDUCING THE DRUG SUPPLY TO OUR COMMUNITY. THE VEHICLE WOULD BE UNFITTED WITH SPECIALIZED EQUIPMENT WHICH PROVIDES SECURE STORAGE AND EASY ACCESS DURING FIELD OPERATIONS.</t>
  </si>
  <si>
    <t>2YTBJQ51645611</t>
  </si>
  <si>
    <t>I SEARCH THE RTD SITE FOR EQUIPMENT THAT COULD BENEFIT OUR DEPARTMENT IN OUR DAILY LAW ENFORCEMENT DUTIES. THIS VAN WOULD BE PERFECT FOR TRANSPORTING RESERVE OFFICERS TO DUTY ASSIGNMENT LOCATIONS DURING A NATURAL DISASTER, LARGE STORM THAT KNOCKS OUT TRAFFIC SIGNALS AT INTERSECTIONS NEEDING TRAFFIC CONTROL, OR INTERSECTIONS TO KEEP THE PUBLIC SAFE DURING ACTIVE SHOOTER SITUATIONS.</t>
  </si>
  <si>
    <t>2YTBJQ52340155</t>
  </si>
  <si>
    <t>THE BRISTOL TENNESSEE POLICE DEPARTMENT WOULD UPFIT AND MARK THIS TRUCK AND THEN ASSIGN IT TO A SCHOOL RESOURCE OFFICER AT ONE OF THEIR SCHOOLS TO DETER AN ACTIVE SHOOTER SITUATION AT A SCHOOL. THE BASE STATES THIS TRUCK RUNS AND HAS THE KEYS.</t>
  </si>
  <si>
    <t>2YTBJQ51927541</t>
  </si>
  <si>
    <t>THE BRISTOL TENNESSEE POLICE DEPARTMENT WOULD USE THIS TRAILER TO MOVE MACHINERY OBTAINED THROUGH THE RTD SITE TO UPDATE OUR RANGE FOR BETTER ACTIVE SHOOTER TRAINING.</t>
  </si>
  <si>
    <t>2YTBJQ51364113</t>
  </si>
  <si>
    <t>DSATV3WHE</t>
  </si>
  <si>
    <t>ALL TERRAIN VEHICLE, 3 WHEEL</t>
  </si>
  <si>
    <t>I AM THE SUPPORT SERVICES CAPTAIN FOR THE BRISTOL TENNESSEE POLICE DEPARTMENT WHICH IS A LAW ENFORCEMENT AGENCY IN NORTHEAST TENNESSEE. I SEARCH THE RTD SITE FOR EQUIPMENT THAT COULD BENEFIT OUR DEPARTMENT IN OUR DAILY LAW ENFORCEMENT DUTIES. WHILE SEARCHING THE RTD SITE, I CAME ACROSS THIS UTV WHICH WOULD ASSIST OUR OFFICERS IN RESPITE AND TO RESPOND DURING SPECIAL EVENTS WITH LARGE CROWDS.</t>
  </si>
  <si>
    <t>2YTBJQ51857137</t>
  </si>
  <si>
    <t>THE BRISTOL TENNESSEE POLICE DEPARTMENT WOULD USE THIS PIECE OF MACHINERY TO IMPROVE OUR RANGE AND THE AREA AROUND IT FOR BETTER TRAINING OF OUR OFFICERS TO RESPOND TO ACTIVE SHOOTER SITUATIONS. THE BASE STATES THIS RUNS BASED ON THE F CONDITION.</t>
  </si>
  <si>
    <t>2YTBJQ51927542</t>
  </si>
  <si>
    <t>THE BRISTOL TENNESSEE POLICE DEPARTMENT WOULD USE THIS EQUIPMENT TO EXPAND OUR RANGE FOR BETTER ACTIVE SHOOTER TRAINING. THE BASE STATES THIS EQUIPMENT RUNS AND IS OPERATIONAL.</t>
  </si>
  <si>
    <t>2YTBJQ52340154</t>
  </si>
  <si>
    <t>THE BRISTOL TENNESSEE POLICE DEPARTMENT NEEDS THIS FORKLIFT AND THE OTHER ONE WE PUT IN FOR AT TWO DIFFERENT POLICE DEPARTMENT LOCATIONS. THIS FORKLIFT WOULD BE USED TO UNLOAD EQUIPMENT RECEIVED TO UPFIT OUR POLICE VEHICLES. THE BASE STATES THIS DOES RUN AND IS OPERATIONAL.</t>
  </si>
  <si>
    <t>2YTBJQ51927545</t>
  </si>
  <si>
    <t>THE BRISTOL TENNESSEE POLICE DEPARTMENT WOULD USE THIS FORKLIFT TO MOVE EQUIPMENT AND PALLETS OF DONATED WATER TO HYDRATE OUR OFFICERS. THE BASE STATES THIS EQUIPMENT RUNS AND IS OPERATIONAL.</t>
  </si>
  <si>
    <t>2YTBJQ52279699</t>
  </si>
  <si>
    <t>DSAIRCOND</t>
  </si>
  <si>
    <t>THE BRISTOL TENNESSEE POLICE DEPARTMENT WOULD USE THESE TWO AIR CONDITIONER UNITS FOR LAW ENFORCEMENT PERSONNEL'S OFFICE SPACE WHERE THERE CURRENTLY IS NOT AIR CONDITIONING.</t>
  </si>
  <si>
    <t>2YTBJQ52209380</t>
  </si>
  <si>
    <t>THE STRAP CUTTERS WILL ENHANCE THE PUBLIC SAFETY CAPABILITIES OF THE BRISTOL TENNESSEE POLICE DEPARTMENT BY PROVIDING A FAST AND SAFE WAY TO REMOVE STRAPS AND SMALL CORDS IN THE EVENT OF AN EMERGENCY.</t>
  </si>
  <si>
    <t>2YTBJQ52209367</t>
  </si>
  <si>
    <t>NIGHT VISION SNIPER SCOPES WILL ENHANCE THE CAPABILITIES OF THE BRISTOL TENNESSEE POLICE DEPARTMENT SNIPER UNITS COMMUNITY SAFETY, COUNTER NARCOTICS AND COUNTER TERRORISM MISSIONS.</t>
  </si>
  <si>
    <t>2YTBJQ52209368</t>
  </si>
  <si>
    <t>2YTBJQ52138906</t>
  </si>
  <si>
    <t>MASK,FIELD,PAINTBAL</t>
  </si>
  <si>
    <t>THE BRISTOL TENNESSEE POLICE DEPARTMENT WILL USE THESE MASKS FOR PERSONAL PROTECTION DURING ACTIVE SHOOTER TRAININGS.</t>
  </si>
  <si>
    <t>2YTBJQ51646357</t>
  </si>
  <si>
    <t>OFFICERS WITH THE BRISTOL TENNESSEE POLICE DEPARTMENT WOULD USE THESE PRINTERS TO PRINT AFFIDAVITS, SEARCH WARRANTS, AND OTHER OFFICIAL DOCUMENTS PERTAINING TO CRIMES AGAINST PERSONS IN OUR COMMUNITY. THE CONDITION HAS BEEN CONFIRMED WITH THE DLA SITE.</t>
  </si>
  <si>
    <t>2YTBJQ51293585</t>
  </si>
  <si>
    <t>I AM THE SUPPORT SERVICES CAPTAIN FOR THE BRISTOL TENNESSEE POLICE DEPARTMENT WHICH IS A LAW ENFORCEMENT AGENCY IN NORTHEAST TENNESSEE. I SEARCH THE RTD SITE FOR EQUIPMENT THAT COULD BENEFIT OUR DEPARTMENT IN OUR DAILY LAW ENFORCEMENT DUTIES. WHILE SEARCHING THE RTD SITE, I CAME ACROSS THESE BIKES THAT WOULD BE UTILIZED AT SPECIAL EVENTS AND LARGE CROWDS TO ASSIST IN EMERGENCY RESPONSE.</t>
  </si>
  <si>
    <t>2YTBJQ52391438</t>
  </si>
  <si>
    <t>THE BRISTOL TENNESSEE POLICE DEPARTMENT WOULD USE THE TYVEK SUITS FOR OFFICERS OR DETECTIVES TO ENTER CRIME SCENES AND NOT CROSS CONTAMINATE THE SCENE.</t>
  </si>
  <si>
    <t>ELIZABETHTON POLICE DEPT (2YTDP2)</t>
  </si>
  <si>
    <t>2YTDP252340371</t>
  </si>
  <si>
    <t>THE ELIZABETHTON POLICE DEPARTMENT NEEDS THIS VEHICLE TO SUPPORT IT'S DAILY PUBLIC SAFETY AND LAW ENFORCEMENT MISSION.  IN ADDITION THE VEHICLE WOULD BE USED TO MOVE EQUIPMENT AND SUPPLIES FOR COUNTER TERROR, LAW ENFORCEMENT, AND DISASTER RESPONSE AND PREPARDNESS.</t>
  </si>
  <si>
    <t>2YTDP252279997</t>
  </si>
  <si>
    <t>THE ELIZABETHTON POLICE DEPARTMENT NEEDS THIS VEHICLE FOR USE PRIMARILY TO PREPARE FOR RESPONSE TO FLOODING IN OUR CITY AND AREA.  IN ADDITION IT WILL BE USED TO SUPPORT OUR DAILY MISSION OF PUBLIC SAFETY AND LAW ENFORCEMENT AND IS ALSO NEEDED TO MOVE THE DEPARTMENTS EQUIPMENT TRAILERS THAT WOULD RESPOIND TO SUPPORT CRITICAL INCIDENTS.</t>
  </si>
  <si>
    <t>GAINESBORO POLICE DEPT (2YTEF6)</t>
  </si>
  <si>
    <t>2YTEF651927777</t>
  </si>
  <si>
    <t>TRAILER UNIT,TYPE</t>
  </si>
  <si>
    <t>GAINESBORO POLICE REQUEST THIS TRAILER TO USE ON ALL POLICE ACTIVES, NATURAL DISASTERS, LOST OR MISSING CHILDREN AND OR ELDERLY PERSONS OR ANY ACTIVE SHOOTER SITUATIONS THAT MIGHT OCCUR IT CAN ALSO BE USED TO MONITOR AREAS OF HIGH CRIME THAT OCCURS IN GAINESBORO AND HELP IN AND THE IT WILL ONLY BE USED TO ASSIST ALL LAW ENFORCEMENT ACTIVES IN GAINESBORO, JACKSON COUNTY BETTER SERVE AND FOR THE SAFETY OF GAINESBORO LAW ENFORCEMENT WE SEE IT HAS A CONDITIONS F AND WE WILL STILL GET IT AND USE IT</t>
  </si>
  <si>
    <t>2YTEF651717017</t>
  </si>
  <si>
    <t>THIS WOULD BE USED BY THE GAINESBORO POLICE DEPARTMENT ONLY. TO MOVE LPR CAMERAS AND OTHER CCTV CAMERAS WE HAVE THROUGHOUT THE CITY. CAMERAS ARE USED TO MONITOR HIGH CRIME AREAS AND TRAFFIC. WE ARE A SMALL DEPARTMENT AND HAVE TO GET LOCAL UTILITIES TO PUT THESE UP AND THEN THE LOCATION OF THE CAMERAS IS KNOWN TO EVERYONE. THIS WOULD GET A GREAT ASSIST TO THE GAINESBORO POLICE DEPARTMENT IN FIGHTING LOCAL CRIME.  WE ARE AWARE OF THE CONDITION F AND WILL STILL WORK ON GET THE UNIT REPAIRED</t>
  </si>
  <si>
    <t>2YTEF651717020</t>
  </si>
  <si>
    <t>THIS WOULD BE USED BY THE GAINESBORO POLICE DEPARTMENT ONLY. TO MOVE LPR CAMERAS AND OTHER CCTV CAMERAS WE HAVE THROUGHOUT THE CITY. CAMERAS ARE USED TO MONITOR HIGH CRIME AREAS AND TRAFFIC. WE ARE A SMALL DEPARTMENT AND HAVE TO GET LOCAL UTILITIES TO PUT THESE UP AND THEN THE LOCATION OF THE CAMERAS IS KNOWN TO EVERYONE. WE ARE AWARE OF THE CONDITION F AND WILL STILL WORK ON GET THE UNIT REPAIRED. OR USE IT AS PARTS FOR THE OTHER WE HAVE ASKED FOR</t>
  </si>
  <si>
    <t>GLEASON POLICE DEPT (2YTEMC)</t>
  </si>
  <si>
    <t>2YTEMC52340345</t>
  </si>
  <si>
    <t>THIS ITEM WILL ONLY BE USED BY THE GLEASON POLICE DEPARTMENT. THIS ITEM WOULD BE USED TO TRANSPORT ITEMS TO AND FROM THE POLICE DEPARTMENT AND TRAINING FACILITY. THIS ITEM WOULD BE USED TO TRANSPORT EMERGENCY BARRIERS. THIS ITEM WOULD ALSO BE USED TO TRANSPORT MATERIALS NEEDED AT THE TRAINING FACILITY FOR OFFICER SAFETY</t>
  </si>
  <si>
    <t>2YTEMC52209444</t>
  </si>
  <si>
    <t>THE GLEASON POLICE DEPARTMENT WILL BE THE ONLY AGENCY USING THIS ITEM. THIS ITEM WILL BE USED TO TRANSPORT ITEMS AROUND THE TRAINING FACILITY. THE ITEM WILL BE USED TO TRANSPORT CONES AND TARGETS TO THE FIRING RANGE. THIS ITEM WILL ALSO BE USED TO TRANSPORT BARRIERS TO THE CLOSED-DOWN ROAD TO THE RANGE.</t>
  </si>
  <si>
    <t>2YTEMC52410864</t>
  </si>
  <si>
    <t>THIS EQUIPMENT WILL ONLY BE USED BY THE GLEASON POLICE DEPARTMENT. THIS ITEM WILL BE USED AT THE TRAINING FACILITY. THIS ITEM WILL BE USED TO TRANSPORT TARGETS TO THE RANGE AND TRAINING FACILITY. THIS ITEM WILL BE USED TO TRANSPORT PERSONNEL TO THE RANGE AND TRAINING FACILITY.</t>
  </si>
  <si>
    <t>2YTEMC52411422</t>
  </si>
  <si>
    <t>THIS ITEM WILL ONLY BE USED BY THE GLEASON POLICE DEPARTMENT. THIS ITEM WILL BE USED FOR SEARCH AND RESCUE. THIS ITEM WILL BE USED TO HELP LOCATE MISSING SUBJECTS. THIS ITEM WILL BE USED TO TRANSPORT INJURED SUBJECTS DURING TIMES OF NATURAL DISASTERS.</t>
  </si>
  <si>
    <t>2YTEMC52411005</t>
  </si>
  <si>
    <t>THIS ITEM WILL BE USED ONLY AT THE GLEASON POLICE DEPARTMENT. THIS ITEM WILL BE USED AT THE TRAINING FACILITY. THIS ITEM WILL BE USED TO PULL A MACHINE TO CUT GRASS AT THE TRAINING GROUNDS. THIS ITEM WILL ALSO BE USED TO MOVE EQUIPMENT TO AND FROM THE TRAINING FACILITY. I HAVE MADE CONTACT WITH THE BASE AND INSPECTED THIS ITEM.</t>
  </si>
  <si>
    <t>2YTEMC52340343</t>
  </si>
  <si>
    <t>THIS ITEM WILL ONLY BE USED BY THE GLEASON POLICE DEPARTMENT. THIS ITEM WILL BE USED AT THE TRAINING FACILITY. THIS ITEM WOULD BE USED TO LOAD AND UNLOAD STEEL TARGETS THAT ARE USED ON THE RANGE. THIS ITEM WOULD ALSO BE USED TO MOVE EQUIPMENT THAT IS USED AT THE TRAINING FACILITY.</t>
  </si>
  <si>
    <t>2YTEMC52340412</t>
  </si>
  <si>
    <t>THIS ITEM WILL ONLY BE USED BY THE GLEASON POLICE DEPARTMENT.
THIS ITEM WOULD BE USED TO POWER DIFFERENT FACILITIES DURING A POWER OUTAGE. THIS ITEM WOULD BE USED TO POWER THE POLICE DEPARTMENT IN THE EVENT OF A POWER OUTAGE. THIS ITEM WOULD ALSO BE USED TO POWER DIFFERENT EQUIPMENT DURING A NATURAL DISASTER.</t>
  </si>
  <si>
    <t>GREENE COUNTY SHERIFF'S DEPT (2YTET6)</t>
  </si>
  <si>
    <t>2YTET652279741</t>
  </si>
  <si>
    <t>TRUCK WILL BE USED BY THE GREENE COUNTY SHERIFFS OFFICE TO MOVE OUR TRAILERS AND OTHER EQUIPMENT AROUND FOR SERVICE THAT HAS A PINTLE HITCH. HAVING A TRUCK LIKE THIS WILL SAVE TIME ON CHANGING OUT THE HITCH AND DOES NOT REQUIRE AN ASSISTANT TO HELP YOU HOOK UP THE TRAILER OR EQUIPMENT AS THIS HAS MIRRORS FOR THAT.</t>
  </si>
  <si>
    <t>2YTET652209397</t>
  </si>
  <si>
    <t>THIS ITEM WILL BE USED TO HAUL EQUIPMENT BACK AND FORTH FROM OUR DIFFERENT FACILITIES THIS ITEM WILL ALSO BE USED TO HAUL EVIDENCE SEIZED BY OFFICERS</t>
  </si>
  <si>
    <t>2YTET651787135</t>
  </si>
  <si>
    <t>TRAILER WILL BE USED BY THE GREENE COUNTY SHERIFFS OFFICE TO SUPPLY WATER DURING A DISASTER AND TO ALSO USE WHEN WATER IS NEEDED FOR ASSIGNMENT THAT MAY NOT HAVE WATER CLOSE. WE COULD HAVE USED ONE OF THESE DURING HURRICANE HELENE.</t>
  </si>
  <si>
    <t>2YTET651716059</t>
  </si>
  <si>
    <t>PRESENTLY THE GREENE COUNTY SHERIFFS OFFICE HAS NO RECYCLING PROGRAM FOR OUR OFFICE. HAVING THIS TRAILER WILL ALLOW US TO START A RECYCLING PROGRAM TO RECYCLE THINGS FROM OUR OFFICE SUCH AS PAPER, CANS, PLASTICS TO BENEFIT OUR AGENCY.</t>
  </si>
  <si>
    <t>2YTET652481295</t>
  </si>
  <si>
    <t>TRAILER WILL BE USED BY THE GREENE COUNTY SHERIFFS OFFICE TO HAUL OUR DISASTER EQUIPMENT ON WHEN WERE DEPLOYED TO A DISASTER. ALSO THIS TRAILER CAN BE USED TO HAUL FOOD AND SUPPLIES TO THOSE EFFECTED BY A DISASTER BY TAKING IT TO THE FRONT LINES OF THE DISASTER.</t>
  </si>
  <si>
    <t>2YTET651927455</t>
  </si>
  <si>
    <t>ANTENNA TRAILER WILL BE USED BY THE GREENE COUNTY SHERIFFS OFFICE DURING A DISASTER TO PUT A MOBILE ANTENNA AND REPEATER SYSTEM ON TO GET COMMUNICATIONS BACK UP AND GOING SO EMERGENCY RESPONDERS CAN COMMUNICATE.</t>
  </si>
  <si>
    <t>2YTET651998559</t>
  </si>
  <si>
    <t>THIS ITEM WILL BE USED TO DO UPDATES TO OUR FIRING RANGE</t>
  </si>
  <si>
    <t>2YTET652622347</t>
  </si>
  <si>
    <t>LAWNMOWER WILL BE USED BY THE MAINTENANCE DIVISION OF THE GREENE COUNTY SHERIFFS OFFICE TO KEEP OUR RANGE AREA MOWED. THE PRESENT MOWER HAS A BUSTED TRANSMISSION.</t>
  </si>
  <si>
    <t>2YTET651857469</t>
  </si>
  <si>
    <t>TAMPER,VIBRATING TYPE,INTERNAL COMBUSTIO</t>
  </si>
  <si>
    <t>TAMPERS WILL BE USED BY THE MAINTENANCE DIVISION OF THE GREENE COUNTY SHERIFFS OFFICE TO MAKE REPAIRS TO OUR PARKING LOTS WHEN POT HOLES DEVELOP. IT WILL ALSO BE USED TO PACK DOWN GROUND ON THE FIRING RANGE TO KEEP IT MAINTAINED.</t>
  </si>
  <si>
    <t>2YTET651645683</t>
  </si>
  <si>
    <t>THIS ITEM WILL BE USED FOR LOADING AND UNLOADING SUPPLIES AND EQUIPMENT AT OUR OFFICE AND DOT</t>
  </si>
  <si>
    <t>2YTET651927552</t>
  </si>
  <si>
    <t>AIR COMPRESSOR WILL BE USED BY THE GREENE COUNTY SHERIFFS OFFICE AS A PORTABLE ONE TO BE USED DURING DISASTERS TO MAINTAIN AIR PRESSURE IN VEHICLE TIRES. NAILS AND DEBRIS DURING A DISASTER CAN FLATTEN TIRES. HAVING THIS UNIT ON SITE CAN SPEED UP GETTING VEHICLES BACK ON THE ROAD.</t>
  </si>
  <si>
    <t>2YTET651927551</t>
  </si>
  <si>
    <t>CARPENTERS TOOL KIT WILL BE USED BY THE MAINTENANCE DIVISION OF THE GREENE COUNTY SHERIFFS OFFICE TO MAKE REPAIRS TO OUR COUNTY BUILDING AND TO MAINTAIN REPAIRS AT OUR FIRING RANGE.</t>
  </si>
  <si>
    <t>2YTET651646239</t>
  </si>
  <si>
    <t>LIGHT SET,MARKER,EM</t>
  </si>
  <si>
    <t>EMERGENCY MARKER LIGHT SET WILL BE USED BY THE GREENE COUNTY SHERIFFS OFFICE TO DEPLOY WHEN A MEDICAL HELICOPTER IS NEEDED AT NIGHT TO ALLOW THEM TO LAND IN A SAFE AREA TO PICKUP A PATIENT.</t>
  </si>
  <si>
    <t>2YTET651646080</t>
  </si>
  <si>
    <t>DSFLATPAN</t>
  </si>
  <si>
    <t>FLAT PANEL MONITOR</t>
  </si>
  <si>
    <t>MONITOR WILL BE USED AS A SPARE BY THE IT DIVISION OF THE GREENE COUNTY SHERIFFS OFFICE TO REPLACE SHOULD A MONITOR GO DOWN AT ONE OF OUR WORK STATIONS.</t>
  </si>
  <si>
    <t>2YTET651716076</t>
  </si>
  <si>
    <t>DSPACKIN1</t>
  </si>
  <si>
    <t>PACKAGING AND PACKING BULK MATERIALS</t>
  </si>
  <si>
    <t>PACKING CARTS WILL BE USED BY THE EVIDENCE DIVISION OF THE GREENE COUNTY SHERIFFS OFFICE TO KEEP THEIR SUPPLIES ON TO PACKAGE AND SECURE EVIDENCE FOR CRIMINAL CASES.</t>
  </si>
  <si>
    <t>2YTET651626064</t>
  </si>
  <si>
    <t>STORAGE CONTAINER WILL BE USED BY THE GREENE COUNTY SHERIFFS OFFICE ON OUR FIRING RANGE TO STORE OUR TARGETS AND OTHER RANGE SUPPLIES IN. THE PRESENT ONE HAS STARTED LEAKING AND WE NEED A NEW STORAGE CONTAINER.</t>
  </si>
  <si>
    <t>2YTET652481462</t>
  </si>
  <si>
    <t>THIS ITEM WILL BE USED TO STORE OFFICERS PATROL RIFLE IN</t>
  </si>
  <si>
    <t>GREENFIELD POLICE DEPT (2YTEUJ)</t>
  </si>
  <si>
    <t>2YTEUJ52340377</t>
  </si>
  <si>
    <t>THIS PRODUCT WILL BE USED BY MEMBERS OF THE GREENFIELD POLICE DEPARTMENT ONLY. GREENFIELD IS A SMALL RURAL TOWN LOCATED IN TENNESSEE.  THIS EQUIPMENT WILL BE STORED AT OUR TRAINING FACILITY. THIS EQUIPMENT WOULD HELP BENEFIT POLICE WITH SEARCH AND RESCUE OF OFF-ROAD TERRAIN. THIS EQUIPMENT WOULD ALSO BENEFIT THE DEPARTMENT WITH TRANSPORTING EQUIPMENT AND PERSONNEL TO AND FROM OUR SHOOTING RANGE.</t>
  </si>
  <si>
    <t>2YTEUJ52411070</t>
  </si>
  <si>
    <t>THIS PRODUCT WILL BE USED AND STORED AT THE GREENFIELD POLICE DEPARTMENT. GREENFIELD POLICE DEPARTMENT IS A SMALL POLICE DEPARTMENT IN TENNESSEE. THE DEPARTMENT WAS GIVEN LAND TO BUILD A FIRING RANGE. THIS EQUIPMENT WILL HELP US BUILD OUR FIRING RANGE. THIS EQUIPMENT WILL ALSO HELP US MAINTAIN THE RANGE ONCE WE HAVE IT BUILT. DUE TO FUNDING THE DEPARTMENT DOES NOT HAVE THE EQUIPMENT TO BUILD THE RANGE. THIS EQUIPMENT WILL MAKE THAT POSSIBLE.</t>
  </si>
  <si>
    <t>2YTEUJ52481600</t>
  </si>
  <si>
    <t>THIS ITEM WILL BE USED BY THE GREENFIELD POLICE DEPARTMENT. THIS ITEM WILL BE STORED AT THE POLICE DEPARTMENT. THIS ITEM WILL HELP REMOVE TREES AND BRUSH THAT IS GROWING IN THE MIDDLE OF THE FIRING RANGE. THIS ITEM WILL ALSO HELP WITH BUILDING OUR FIRING RANGE.</t>
  </si>
  <si>
    <t>2YTEUJ52340408</t>
  </si>
  <si>
    <t>THIS PRODUCT WILL BE USED BY MEMBERS OF THE GREENFIELD POLICE DEPARTMENT ONLY. GREENFIELD IS A SMALL RURAL TOWN LOCATED IN TENNESSEE.  THIS EQUIPMENT WILL BE STORED AT OUR TRAINING FACILITY. THIS EQUIPMENT WOULD HELP POWER THE POLICE DEPARTMENT DURING STORMS OR DURING POWER OUTAGES. CURRENTLY THE POLICE DEPARTMENT DOES NOT HAVE ANY FORM OF BACK UP POWER DUE TO FUNDING. CURRENTLY THE POLICE DEPARTMENT CAN NOT OPERATE DURING A POWER OUTAGE</t>
  </si>
  <si>
    <t>HARDIN COUNTY SHERIFF'S DEPT (2YTE4H)</t>
  </si>
  <si>
    <t>2YTE4H52138798</t>
  </si>
  <si>
    <t>DSMSCREPE</t>
  </si>
  <si>
    <t>MISC MAINTENANCE AND REPAIR SHOP</t>
  </si>
  <si>
    <t>WE ARE A SHERIFF DEPT WITH A LIMITED BUDGET. WE ARE IN NEED OF THIS EQUIPMENT FOR OUR OFFICERS TO USE WHEN WORKING EVENTS WITH LARGE CROWDS SO THEY CAN BE ELEVATED ABOVE TO MONITOR FOR SAFETY OF THE OFFICERS ON THE GROUND. THIS UNIT IS SMALL ENOUGH SO THEY CAN MOVE IT EASILY.</t>
  </si>
  <si>
    <t>HICKMAN COUNTY SHERIFF'S OFFICE (2YTFC2)</t>
  </si>
  <si>
    <t>2YTFC252279981</t>
  </si>
  <si>
    <t>HICKMAN COUNTY SHERIFF OFFICE IS NEEDING HEAVY DUTY VEHICLE TO MOVE EQUIPMENT AROUND DURING DISASTER TIMES AND RANGE MAINTENANCE. WE KNOW MOTOR IS BAD. MOTOR WILL BE REPAIRED.</t>
  </si>
  <si>
    <t>2YTFC252410916</t>
  </si>
  <si>
    <t>HICKMAN COUNTY IS A RURAL COUNTY WITH AREA WHICH ARE IN ACCESSIBLE BY MOTOR VEHICLE. THERSE ALL TERRAIN VEHICLE WILL AID IN THE RESPONSE TO SUCH AREAS. FOR LAW ENFORCEMENT AND EMS. WE ACCEPT THEM IN THEIR CONDITION AND WILL REPAIR THEM IF NECESSARY</t>
  </si>
  <si>
    <t>JACKSON POLICE DEPT (2YTFVA)</t>
  </si>
  <si>
    <t>2YTFVA52481709</t>
  </si>
  <si>
    <t>DSHELICOP</t>
  </si>
  <si>
    <t>AIRCRAFT, ROTARY WING</t>
  </si>
  <si>
    <t>JACKSON PD HAS AN APPROVED PACKET ON FILE.  WE NEED THIS AIRCRAFT TO ASSIST WITH PATROL FUNCTIONS, AS WELL AS SEARCH AND RESCUE.</t>
  </si>
  <si>
    <t>JOHNSON CITY POLICE DEPT (2YTFZZ)</t>
  </si>
  <si>
    <t>2YTFZZ52270652</t>
  </si>
  <si>
    <t>WE ARE REQUESTING THIS ROBOT FOR OUR SWAT AND EOD UNITS TO USE. IT WOULD BE USED DURING A BARRICADED SUBJECT, WARRANT SERVICE, SUSPICIOUS PACKAGE, AND HOSTAGE SITUATIONS. OUR SWAT TEAM IS CURRENTLY NOT EQUIPPED WITH ANY ROBOTIC OR REMOTE VIEWING CAPABILITIES. THIS UNIT WOULD BE UTILIZED TO KEEP THE MEMBERS OF OUR TEAM SAFE AND OUT OF HARM'S WAY DURING THESE HAZARDOUS SITUATIONS. THE SIZE OF THIS REBOOT WOULD MAKE IT PORTABLE AND PRACTICAL DURING A CALL OUT.</t>
  </si>
  <si>
    <t>2YTFZZ51997937</t>
  </si>
  <si>
    <t>WE ARE REQUESTING 7 UNITS, OR AS MANY AS POSSIBLE, FOR OUR SWAT TEAM. THESE UNITS WILL BE USED DURING OPERATIONS AND TRAINING. OUR TEAM RESPONDS TO HIGH-RISK WARRANTS INVOLVING VIOLENT CRIMES AND DRUGS. OUR CURRENT HEARING PROTECTION IS BEING HELD TOGETHER WITH TAPE AND PLAGUED WITH RELIABILITY ISSUES. THIS IS THE PREFERRED HEADSET DUE TO OUR OLD, BROKEN LIBERATORS AND THE ABILITY TO INTERCHANGE PARTS.</t>
  </si>
  <si>
    <t>2YTFZZ51927938</t>
  </si>
  <si>
    <t>WE ARE REQUESTING 20 UNITS FOR OUR SWAT TEAM. THESE UNITS WILL BE ISSUED TO OUR SNIPERS, TEAM LEADERS, AND ENTRY PERSONNEL. OUR TEAM RESPONDS TO HIGH-RISK WARRANTS INVOLVING VIOLENT CRIMES AND DRUGS. OUR CURRENT HEARING PROTECTION IS BEING HELD TOGETHER WITH TAPE AND PLAGUED WITH RELIABILITY ISSUES. THESE UNITS WOULD BE UTILIZED FOR OPERATIONAL PURPOSES. THE ABILITY TO RUN TWO CHANNELS WOULD BENEFIT TEAM LEADERS IN COMMUNICATING WITH THE TEAM AND ADMINISTRATION.</t>
  </si>
  <si>
    <t>JOHNSON COUNTY SHERIFFS OFFICE (2YTFZ8)</t>
  </si>
  <si>
    <t>2YTFZ851998134</t>
  </si>
  <si>
    <t>JOHNSON COUNTY SHERIFF'S OFFICE WOULD UTILIZE THIS TO HAUL TRAINING SUPPLIES, ALSO EQUIPMENT THAT WOULD BE NEEDED AT A CRIME SCENE OR HIGHWAY INCIDENT SCENE.</t>
  </si>
  <si>
    <t>KNOX COUNTY SHERIFF'S OFFICE (2YTF94)</t>
  </si>
  <si>
    <t>2YTF9452068410</t>
  </si>
  <si>
    <t>THIS ITEM WILL BE USED BY THE KNOX COUNTY SHERIFFS OFFICE TO STORE AMMUNITION AND MISCELLANEOUS ITEMS FOR THE BOMB SQUAD</t>
  </si>
  <si>
    <t>KNOXVILLE POLICE DEPT (2YTF99)</t>
  </si>
  <si>
    <t>2YTF9951787277</t>
  </si>
  <si>
    <t>THE KNOXVILLE POLICE DEPARTMENT EOD TEAM IS IN NEED OF EOD ROBOTS CAPABLE OF BEING TRANSPORTED IN THE MEDIUM SIZED SUVS FOR QUICK DEPLOYMENT FOR EOD CALL OUTS.  THIS ROBOT WOULD BE USED IN CONJUNCTION WITH OUR LARGE ROBOT FOR EOD TACTICAL SITUATIONS.</t>
  </si>
  <si>
    <t>2YTF9951787278</t>
  </si>
  <si>
    <t>2YTF9951997276</t>
  </si>
  <si>
    <t>LAW ENFORCEMENT TRNG ACADEMY (2YTP35)</t>
  </si>
  <si>
    <t>2YTP3552209253</t>
  </si>
  <si>
    <t>TLETA FIREARMS RANGE SUPPORTS THE TRAINING OF CITY, COUNTY, STATE, AND FEDERAL AGENCIES TO INCLUDE CBP, U.S. MARSHALLS. US PROBATION, AND THE LOCAL JOINT TERRORISM TASK FORCE.  THIS UNIT WILL BE USED TO TRANSPORT AMMUNITION AND EQUIPMENT AND PERSONNEL IN AND AROUND THE RANGE.</t>
  </si>
  <si>
    <t>2YTP3552279962</t>
  </si>
  <si>
    <t>SHOP EQUIPMENT,WELDING</t>
  </si>
  <si>
    <t>TLETA SUPPORTS CITY, COUNTY, STATE, AND FEDERAL AGENCIES ON THE FIREARMS RANGE.  ONE OF OUR TARGET SYSTEMS IS MADE OF STEEL. WE ARE CONSTANTLY HAVING TARGETS BREAK AND CURRENTLY HAVE APPROXIMATELY 7 TARGETS IN NEED OF REPAIR.  THIS EQUIPMENT WILL ALLOW US TO KEEP OUR TARGET SYSTEMS UP AND RUNNING WITH LITTLE DOWN TIME.  IT WILL ALSO SAVE US ON THE EXPENSE OF BUYING REPLACEMENT TARGETS WHEN WE CAN REPAIR WHAT WE HAVE ON SITE.</t>
  </si>
  <si>
    <t>2YTP3552068399</t>
  </si>
  <si>
    <t>THE TN LAW ENFORCEMENT TRAINING ACADEMY HAS SEEN AN INCREASED NUMBER OF CADETS THAT ATTEND THE ACADEMY. OUR KITCHEN SPACE HAS BEEN TAXED, AND WE ARE IN NEED OF EXTRA REFRIGERATION TO HELP WITH THE EXTRA FOOD STORAGE THAT IS REQUIRED TO FEED THE ACADEMY CLASSES.  THIS UNIT WILL ALLOW OUR KITCHEN STAFF TO ORDER, STORE, AND PREPARE MORE NUTRITIONAL MEALS FOR OUR CADETS.  THIS WILL ALSO HELP REDUCE THE OVERCROWDED REFRIGERATION SYSTEM WE HAVE NOW.</t>
  </si>
  <si>
    <t>2YTP3552270374</t>
  </si>
  <si>
    <t>TLETA SUPPORTS TRAINING FOR CITY, COUNTY, STATE, AND FEDERAL AGENCIES.  WITH THE INCREASE IN TRAINING, THERE IS AN INCREASE IN EQUIPMENT AND MATERIALS THAT NEED TO BE STORED OUT OF THE ELEMENTS.  THIS UNIT WILL HELP PROTECT OUR EQUIPMENT AND ALLOW INSTRUCTORS ROOM FOR FUTURE EQUIPMENT.</t>
  </si>
  <si>
    <t>2YTP3551998189</t>
  </si>
  <si>
    <t>TRICON,FREIGHT,GENERAL PURPOSE</t>
  </si>
  <si>
    <t>THE TN LAW ENFORCEMENT TRAINING ACADEMY TRAINS CITY, COUNTY, AND STATE LE AGENCIES FROM ACROSS THE STATE.  WE ARE IN NEED FOR STORAGE FOR THE INCREASE OF AMMUNITION THAT WE HAVE OCCURRED.  OUR CLASS SIZES HAVE INCREASED SIGNIFICANTLY, AND OUR STORAGE SPACE HAS NOT GROWN.</t>
  </si>
  <si>
    <t>LAWRENCE COUNTY SHERIFF'S OFFICE (2YTGK9)</t>
  </si>
  <si>
    <t>2YTGK951716500</t>
  </si>
  <si>
    <t>NEEDED FOR TRANSPORTATION FOR SWAT AND TO TRANSPORT TO AND FROM TRAINING FACILITIES. THIS UNIT CAN ALSO BE USED DURING DANGEROUS WEATHER AND NATURAL DISASTERS</t>
  </si>
  <si>
    <t>2YTGK951716501</t>
  </si>
  <si>
    <t>CAN BE USED TO TRANSPORT EQUIPMENT DURING NATURAL DISASTERS AND DANGEROUS WEATHER. AS WELL AS BEING ABLE TO TRANSPORT EQUIPMENT TO AND FROM TRAINING FACILITIES.</t>
  </si>
  <si>
    <t>MADISONVILLE POLICE DEPT (2YTG57)</t>
  </si>
  <si>
    <t>2YTG575184JG10</t>
  </si>
  <si>
    <t>BUS,MOTOR</t>
  </si>
  <si>
    <t>2YTG5752209567</t>
  </si>
  <si>
    <t>DSTRUCKDC</t>
  </si>
  <si>
    <t>TRUCKS AND TRUCK TRACTORS, DEMIL C</t>
  </si>
  <si>
    <t>THE MADISONVILLE POLICE DEPARTMENT IS REQUESTING THIS TRUCK FOR USE BY OUR OFFICERS AS A MOBILE COMMAND CENTER. OUR DEPARTMENT IS LOCATED IN A RURAL MOUNTAINOUS AREA LEAVING US EXPOSED ON CRUCIAL LIFESAVING OPERATIONS PLANNING IN THE FIELD. INFORMATION GATHERED FROM THE BASE IS THIS VEHICLE IS READY FOR SERVICE. DUE TO BUDGET CONSTRAINTS WE ARE CURRENTLY UNABLE TO PURCHASE MUCH NEEDED EQUIPMENT LIKE THIS UNIT. THANKS</t>
  </si>
  <si>
    <t>MARTIN POLICE DEPARTMENT (2YTHDF)</t>
  </si>
  <si>
    <t>2YTHDF51997899</t>
  </si>
  <si>
    <t xml:space="preserve">THESE NIGHT VISION GOGGLES WILL BE USED BY OUR SRT OPERATORS DURING NIGHT TIME OPERATIONS AND OBSERVATIONS ALLOWING THEM TO BE MORE EFFECTIVE AND EFFICIENT IN THE DARK.
I HAVE CONTACTED THE BASE IN REGARDS TO THE CONDITION OF THE OPTICS AND WE ARE SATISFIED WITH THE CONDITION OF THE OPTICS.   
</t>
  </si>
  <si>
    <t>2YTHDF51927844</t>
  </si>
  <si>
    <t>WINDOW,SACRIFICIAL</t>
  </si>
  <si>
    <t>THESE SACRIFICIAL WINDOWS WILL BE USED BY OUR SRT OPERATORS TO PROTECT THE LENSES OF OUR NIGHT VISION GOOGLES DURING TRAINING. 
I HAVE CONTACTED THE BASE IN REFERENCE TO CONDITION AND WE ARE SATISFIED WITH THE CONDITION OF THE LENSES.</t>
  </si>
  <si>
    <t>2YTHDF52340385</t>
  </si>
  <si>
    <t>THIS HEADSET WILL BE USED BY OUR SRT OPERATORS DURING OPERATIONS AND TRAINING TO PROVIDE AMPLIFIED HEARING PROTECTION AS WELL AS THE ABILITY TO COMMUNICATE ON THE RADIO.</t>
  </si>
  <si>
    <t>2YTHDF52411425</t>
  </si>
  <si>
    <t>WE ARE IN NEED OF GOOD DIGITAL CAMERAS TO BE USED BY PATROL OFFICERS FOR PHOTOGRAPHING CRIME SCENES AND TAKING RECON PHOTOS FOR DRUG CASES.  
I HAVE CONTACTED THE BASE AND WE ARE SATISFIED WITH THE CONDITION OF THE CAMERAS.</t>
  </si>
  <si>
    <t>2YTHDF52411507</t>
  </si>
  <si>
    <t>WE ARE IN NEED OF CAMERAS FOR PATROL OFFICERS TO USE ON INVESTIGATIONS AS WELL AS TAKING CRIME SCENE PHOTOS.  THIS CAMERA WOULD BE USED BY PATROL OFFICERS THAT ARE WORKING DRUG CASES TO TAKE SURVEILLANCE PHOTOS.
I HAVE CONTACTED THE BASE AND WE ARE SATISFIED WITH THE CONDITION OF THE CAMERA.</t>
  </si>
  <si>
    <t>MILAN POLICE DEPT (2YTHQ0)</t>
  </si>
  <si>
    <t>2YTHQ052552243</t>
  </si>
  <si>
    <t>DSPAINTGN</t>
  </si>
  <si>
    <t>GUN, PAINTBALL</t>
  </si>
  <si>
    <t>WE WOULD LIKE TO HAVE THE PAINTBALL GUNS TO HELP BETTER SIMULATE REAL LIFE TRAINING SCENARIOS. THE GUNS WILL HELP US BE PREPARED FOR ACTIVE SHOOTER SITUATIONS AND WILL BE ONLY USED MY OUR POLICE DEPARTMENT.</t>
  </si>
  <si>
    <t>2YTHQ052139158</t>
  </si>
  <si>
    <t>WE WOULD LIKE TO HAVE THIS TRUCK TO HELP PULL TRAILER MOUNTED GENERATORS IN EMERGENCY SITUATIONS WHEN MAJOR INCIDENTS OCCUR. WE HAVE INQUIRED ABOUT THE CONDITION OF THE TRUCK AND WOULD LIKE TO GET IT RUNNING. THE TRUCK WILL BE SOLELY USED BY OUR DEPARTMENT</t>
  </si>
  <si>
    <t>2YTHQ052068835</t>
  </si>
  <si>
    <t>WE WOULD LIKE TO HAVE THE LIFT TO HELP BUILD OUR CONNEX TRAINING SITE. WE CURRENTLY HAVE A LIFT BUT IT IS NOT BIG ENOUGH TO LIFT THE ITEMS NEEDED. THE CONNEX SITE WILL ALOW US TO TRAIN MORE EFFICIENTLY AND BE BETTER PREPARED IN EMERGENCIES</t>
  </si>
  <si>
    <t>2YTHQ052068992</t>
  </si>
  <si>
    <t>CHAIN ASSEMBLY, SINGLE LEG</t>
  </si>
  <si>
    <t>WE WOULD LIKE THE CHAIN ASSEMBLYS TO USE WHILE TRANSPORTING EQUIPMENT FROM SITE TO SITE AND EVEN FROM DRMOS  WE HAVE OFFICERS THAT HAVE CDL'S AND RELY ON THIS TO BE MORE EFFICIENT. THE CHAINS WILL ALSO BE USED IN EMERGENCY STORM RESPONSE WITH DOWNED TREES ALONG WITH OUR HEAVY EQUIPMENT. THEY WILL BE USED SOLELY BY OUR DEPARTMENT.</t>
  </si>
  <si>
    <t>2YTHQ052209851</t>
  </si>
  <si>
    <t>SHACKLE</t>
  </si>
  <si>
    <t>WE WOULD LIKE TO GET THE SHACKLES TO HELP WITH TOWING AND RIGGING OUR HEAVY EQUIPMENT. WE WILL ALSO USE THEM ON OUR FIRING RANGE TO SECURE STEEL TARGETS. THE SHACKLES WILL BE USED SOLEY BY OUR DEPARTMENT AND WILL HELP US BE BETTER TRAINED IN THE END.</t>
  </si>
  <si>
    <t>2YTHQ052068834</t>
  </si>
  <si>
    <t>WE WOULD LIKE THIS WELDER TO CREATE  STEEL TARGETS ON OUR FIRING RANGE. WE TRAIN SHOOT REGULARLY AND THE WELDER WOULD ALLOW US TO BUILD OUR OWN TARGETS AND BE BETTER PREPARED AND ACCURATE IN ACTIVE SHOOTER SITUATIONS. THE WELDER WILL BE USED BY OUR DEPARTMENT ONLY</t>
  </si>
  <si>
    <t>2YTHQ052482103</t>
  </si>
  <si>
    <t>WE WOULD LIKE TO HAVE THE TOOL BOXES TO HELP ORGANIZE AND STORE TOOLS AND EQUIPMENT AT OUR FIRING RANGE AND OTHER TRAINING FACILITY. THE TRAINING SITES HELP US BE BETTER PREPARED FOR EMERGENCY SITUATIONS AND THE ORGANIZATION WILL HELP US MEET THOSE GOALS. THE BOXES WILL BE USED SOLEY BY THE POLICE DEPARTMENT.</t>
  </si>
  <si>
    <t>2YTHQ052482107</t>
  </si>
  <si>
    <t>WE WOULD LIKE TO HAVE THE BOXES TO HELP STORE AND ORGANIZE OUR DIFFERENT CRIME SCENE PROCESSING EVIDENCE ITEMS. WE HAVE SEVERAL DIFFERENT DETECTIVES THAT ARE RESPONSIBLE FOR THERE OWN ITEMS AND THE BOXES WILL HELP US DO THAT.  THE BOXES WILL ALSO HELP US BE PREPARED TO RESPOND TO EMERGENCY CALLS AND WILL BE USED BY THE POLICE DEPARTMENT ONLY.</t>
  </si>
  <si>
    <t>2YTHQ052209790</t>
  </si>
  <si>
    <t>CIRCUIT BREAKER</t>
  </si>
  <si>
    <t>WE WOULD LIKE TO HAVE THE BREAKERS FOR A NEW POLICE TRAINING BUILDING WE HAVE ACQUIRED. THE BUILDING WAS A HEALTH DEPARTMENT AND NOW WILL BE A POLICE TRAINING FACILITY. THE TRAINING ALLOWS US TO BE MORE PREPARED FOR EMERGENCY SITUATIONS. THESE BREAKERS WILL BE USED SOLEY BY OUR DEPARTMENT.</t>
  </si>
  <si>
    <t>2YTHQ052622389</t>
  </si>
  <si>
    <t>WE WOULD LIKE TO HAVE THE GENERATORS TO UPDATE AND MAINTAIN IN PREPARATION FOR A NATURAL DISASTER. WE BELIEVE IF AND WHEN A NATURAL DISASTER TAKES PLACE IT WILL BE UP TO US AS FIRST RESPONDERS TO KEEP THINGS MOVING. THE GENERATORS WILL BE USED BY OUR POLICE DEPARTMENT ONLY.  IT SHOWS THEM TO BE REPAIRABLE AND WE ARE WILLING TO DO THAT</t>
  </si>
  <si>
    <t>2YTHQ052209782</t>
  </si>
  <si>
    <t>TOW LIGHT ASSEMBLY</t>
  </si>
  <si>
    <t>WE WOULD LIKE TO HAVE THE TOW LIGHT KITS TO BE ABLE TO TOW OUR HEAVY EQUIPMENT MORE SAFELY. WE HAVE SEVERAL PIECES OF HEAVY EQUIPMENT THAT IS MOVED AROUND TO DIFFERENT TRAINING SITES. THE LIGHT KITS WILL BE USED SOLEY BY OUR DEPARTMENT.</t>
  </si>
  <si>
    <t>2YTHQ052209785</t>
  </si>
  <si>
    <t>FLOODLIGHT,ELECTRIC</t>
  </si>
  <si>
    <t>WE WOULD LIKE TO HAVE THE LIGHTS TO USE AT OUR NEW FIRING RANGE. THE LIGHTS WILL ALLOW US TO TRAIN AT NIGHT AND MORE PREPARED FOR EMERGENCY SITUATIONS. THE LIGHTS WILL BE USED SOLEY BY THE POLICE DEPARTMENT.</t>
  </si>
  <si>
    <t>2YTHQ052068989</t>
  </si>
  <si>
    <t>LIGHT SET,EXTENSION</t>
  </si>
  <si>
    <t>WE WOULD LIKE THE LIGHT KITS TO ILLUMINATE OUR FIRING RANGE FOR NIGHT SHOOTING. THE KITS WILL ALLOW US TO TRAIN AND BE BETTER PREPARED IN EMERGENCY SITUATIONS. THE LIGHT WILL BE USED SOLELY BY THE POLICE DEPARTMENT.</t>
  </si>
  <si>
    <t>2YTHQ052209924</t>
  </si>
  <si>
    <t>WE WOULD LIKE TO HAVE THE LAPTOPS TO USE IN OUR PATROL UNITS. THE COMPUTERS WILL ALLOW OUR OFFICERS TO RECEIVE INFORMATION IN REAL TIME AND ALLOW US TO BE MORE RESPONSIVE IN EMERGENCY SITUATIONS. THEY WILL BE USED BY OUR DEPARTMENT ONLY.</t>
  </si>
  <si>
    <t>2YTHQ052209795</t>
  </si>
  <si>
    <t>DSADPSUPP</t>
  </si>
  <si>
    <t>ADP SUPPORT EQUIPMENT</t>
  </si>
  <si>
    <t>WE WOULD LIKE TO HAVE THE DUAL MONITOR MOUNTS TO BE USED AT OUR WORK STATIONS. THESE MOUNTS WILL WORK WITH OUR EXISTING MONITORS. THE MOUNTS WILL HELP OUR WORK FLOW AND BE MORE EFFICIENT WHILE INVESTIGATING CASES. THE WILL BE USED IN POLICE BUILDINGS ONLY</t>
  </si>
  <si>
    <t>2YTHQ052068820</t>
  </si>
  <si>
    <t>WE WOULD LIKE TO OBTAIN THE KITS TO USE IN EMERGENCY WATER RESCUE AND OTHER SITUATIONS WHERE ROPES AND CHAINS MAY ASSIST IN EMERGENCY RESCUE. WE HAVE HAD SEVERAL FLOODS RECENTLY THAT THE EQUIPMENT WOULD HAVE AIDED IN RESCUES. THE KITS WILL BE USED ONLY BY MILAN PD</t>
  </si>
  <si>
    <t>2YTHQ052209993</t>
  </si>
  <si>
    <t>FIELD PACK,LARGE,SE</t>
  </si>
  <si>
    <t>WE WOULD LIKE TO HAVE THE PACKS TO USE FOR EMERGENCY SITUATIONS INVOLVING LONG CALL-OUTS.  THE PACKS WILL BE USED SOLELY BY OUR DEPARTMENT</t>
  </si>
  <si>
    <t>MONROE COUNTY SHERIFFS OFFICE (2YTHWY)</t>
  </si>
  <si>
    <t>2YTHWY51363201</t>
  </si>
  <si>
    <t>THE MONROE COUNTY SHERIFFS DEPARTMENT IS REQUESTING THESE FOR OUR CONTAINER TRAINING FACILITY. WE ARE IN THE INITIAL STAGES OF PLANNING AND COLLECTING THESE CONTAINERS TO BE ABLE TO MAKE A MULTIPLE STORY TRAINING BUILDING FOR MANY DIFFERENT TRAINING SESSIONS.</t>
  </si>
  <si>
    <t>OLIVER SPRINGS POLICE DEPT (2YT12V)</t>
  </si>
  <si>
    <t>2YT12V52138825</t>
  </si>
  <si>
    <t>TRUCK,SERVICING PLATFORM</t>
  </si>
  <si>
    <t>THE OLIVER SPRINGS POLICE DEPARTMENT IS SEEKING TO GET A BUCKET TRUCK FOR INSTALLING CAMERAS IN AREAS FOR COUNTER DRUG AND COUNTER TERRORISM INVESTIGATIONS AND THIS WOULD HELP TREMENDOUSLY.</t>
  </si>
  <si>
    <t>2YT12V52552533</t>
  </si>
  <si>
    <t>THE OLIVER SPRINGS POLICE DEPARTMENT IS LOOKING FOR TRANSPORT VEHICLES TO REMOTE WOODED AREAS TO ASSIST ON COUNTER DRUG AND COUNTER TERRORISM, AS WELL AS IN ASSISTING IN RESCUE IN NATURAL DISASTERS AND MOVING EQUIPMENT AT THE OLIVER SPRINGS POLICE DEPARTMENT TO REMOTE AREAS.</t>
  </si>
  <si>
    <t>2YT12V52552532</t>
  </si>
  <si>
    <t>SOUTH FULTON POLICE DEPARTMENT (2YTQ31)</t>
  </si>
  <si>
    <t>2YTQ3152552228</t>
  </si>
  <si>
    <t>TO BENEFIT OUR DEPARTMENT IN SEARCH AND RESCUE. IT WILL PROTECT OUR PEOPLE IN THE WOODS AND IN TOUGH AREAS.  IT WILL BENEFIT US TO KEEP UP WITH THE VOLUNTEERS INVOLVED IN THE SEARCH.</t>
  </si>
  <si>
    <t>SPARTA POLICE DEPARTMENT (2YTS08)</t>
  </si>
  <si>
    <t>2YTS0852139204</t>
  </si>
  <si>
    <t>THESE ASSETS WOULD ASSIST OUR OFFICERS AND AGENCY BY ALLOWING OFFICERS A WAY TO EFFECTIVELY CLEAN THEIR FIREARMS FOR DUTY USE. WE WOULD REPAIR OR REPLACE MISSING ITEMS IN ORDER FOR THEM TO BE COMPLETE</t>
  </si>
  <si>
    <t>2YTS0852340770</t>
  </si>
  <si>
    <t>THESE ASSETS WOULD BE BENEFICIAL TO OUR AGENCY AND OFFICERS BY ALLOWING US THE ABILITY TO UTILIZE THIS FOR BOAT PATROL ON OUR RIVERS AS WELL AS SEARCH RESCUE AND RECOVERY EFFORTS DURING FLOODING. WE WOULD REPAIR THESE ASSETS AS NEEDED.</t>
  </si>
  <si>
    <t>2YTS0852139206</t>
  </si>
  <si>
    <t>THIS ASSET WOULD BENEFIT OUR OFFICERS BY ALLOWING US TO USE THIS ON OUR INFLATABLE BOAT TO COVER MORE WATER AREA MORE EFFECTIVELY THIS WOULD ALSO ASSIST IN TRAINING MISSIONS ON WATER OPERATIONS AS WELL AS SEARCH AND RESCUE OPERATIONS DURING FLOODS AND NORMAL RIVER PATROL</t>
  </si>
  <si>
    <t>2YTS0852410781</t>
  </si>
  <si>
    <t>THIS ASSET WOULD BENEFIT OUR AGENCY AND OFFICERS BY ALLOWING US TO UTILIZE THIS TO HAUL A HEAVY TRAILER TO TRANSPORT VEHICLES TO AND FROM THE IMPOUND LOT AND ALSO TO PICK UP AND TRANSPORT POLICE VEHICLES WHEN THEY ARE PURCHASED AND DISPOSED OF. THIS ASSET WOULD ALSO BE UTILIZED TO PICK UP ITEMS AWARDED TO US BY DLA AND WOULD ALLOW US TO PICK UP HEAVIER LOADS DECREASING THE AMOUNT OF TRIPS WE HAVE TO MAKE. WE WOULD REPAIR THIS VEHICLE.</t>
  </si>
  <si>
    <t>2YTS0852410736</t>
  </si>
  <si>
    <t>THIS ASSET WOULD BENEFIT THIS AGENCY AND OFFICERS BY ALLOWING US TO UTILIZE THIS VEHICLE AS A PATROL VEHICLE FOR OFFICERS TO RESPOND TO CALLS OF SERVICE, EMERGENCIES, DISASTER INCIDENTS, TRAFFIC INCIDENTS, ETC. THIS ASSET WOULD BE REPAIRED AND UTILIZED ASAP</t>
  </si>
  <si>
    <t>2YTS0852139207</t>
  </si>
  <si>
    <t>WE WOULD REPAIR THIS ASSET. THIS ASSET WOULD BENEFIT OUR OFFICERS BY ALLOWING US TO UTILIZE THIS TO TRANSPORT OFFICERS TO TRAINING AS WELL AS UTILIZE IT FOR TRANSPORT AND PICKUP OF EQUIPMENT TO AND FROM THE RANGE. THIS ASSET WOULD SAVE OUR AGENCY TRANSPORTATION COSTS</t>
  </si>
  <si>
    <t>2YTS0852209194</t>
  </si>
  <si>
    <t>THIS ASSET WOULD BENEFIT OUR AGENCY BY ALLOWING US TO UTILIZE THIS AS MAINTENANCE FOR OUR RANGE TO CLEAN OUT TREES AND CLEAN DEBRIS FROM OUR RANGE BUILDING AND SHOOTING PAVILION. THIS ASSET WOULD ALSO ALLOW US TO CONDUCT MAINTENANCE ON OUR POLICE DEPARTMENT TO ENHANCE AND MAINTAIN OUR ROOF AS WELL AS UPDATE ANDN PAINT OUR BUILDING. WE WOULD REPAIR THIS ITEM AT OUR OWN COST.</t>
  </si>
  <si>
    <t>2YTS0852410765</t>
  </si>
  <si>
    <t>THIS ASSET WOULD BENEFIT OUR AGENCY AND OFFICERS BY ALLOWING US TO UTILIZE THIS AS A PATROL VEHICLE FOR OFFICERS TO PATROL OUR JURISDICTION, RESPOND TO EMERGENCY AND NON EMERGENCY CALLS OF SERVICE, TRAFFIC INCIDENTS, ETC. THIS ASSET WOULD BE REPAIRED AS NECESSARY.</t>
  </si>
  <si>
    <t>2YTS0852209184</t>
  </si>
  <si>
    <t>THESE ASSETS WOULD BENEFIT OUR OFFICERS BY ALLOWING US TO REPLACE OUR CURRENT UTV WITH THESE AND STILL UTILIZE OUR OLD ONE AS PARTS. THESE WOULD ALLOW OFFICERS TO MORE EFFECTIVLEY RESPOND TO INCIDENTS INSIDE OUR PARKS AS WELL AS PATROL PARKS AND EVENTS. THESE WOULD INCREASE THE SAFETY OF OUR WOODED AREAS AND ALLOW MORE EFFECTIVE RESCUE AND RECOVERY OF LOST OR INJURED CITIZENS.</t>
  </si>
  <si>
    <t>2YTS0852139186</t>
  </si>
  <si>
    <t>WE CURRENTLY HAVE A MULE THAT WE RECEIVED OFF DLA THAT NEEDS A MOTOR THIS ASSET WOULD BENEFIT US BY ALLOWING US TO USE THIS ONE OR THE OTHER FOR PARTS IN ORDER TO HAVE ONE RUNNING ASSET AND ONE THAT IS USED FOR PARTS. THIS ASSET IS NEEDED TO PATROL AND RESPOND TO EMERGENCIES THAT REGULAR VEHICLES CANNOT GET TO</t>
  </si>
  <si>
    <t>2YTS0852139196</t>
  </si>
  <si>
    <t>THIS ASSET WOULD BENEFIT OUR OFFICERS BY ALLOWING THEM TO UTILIZE THIS FOR PARKING ENFORCEMENT IN AND AROUND OUR DOWNTOWN AREA. IT WOULD BENEFIT THEM BY ALLOWING THEM TO COVER MORE AREA IN A SHORTER AMOUNT OF TIME. WE CURRENTLY HAVE ONE CARRYALL THAT COULD BE USED FOR PARTS AND WE WOULD BE WILLING TO REPAIR THIS ONE OR THE OTHER ONE AND USE THE OTHER FOR PARTS.</t>
  </si>
  <si>
    <t>2YTS0852410738</t>
  </si>
  <si>
    <t>THIS ASSET WOULD BENEFIT OUR AGENCY BY ALLOWING US TO UTILIZE THIS FOR PARTS WE CURRENTLY HAVE ONE THAT WAS RECEIVED FROM LESO AND NEED PARTS TO MAKE IT USEABLE THIS ASSET WOULD ALLOW US TO REMOVE PARTS NEEDED TO MAKE THIS ONE OR OUR CURRENT ONE WORK FOR PATROL USE.</t>
  </si>
  <si>
    <t>2YTS0852410780</t>
  </si>
  <si>
    <t>THIS ASSET WOULD BENEFIT OUR AGENCY AND OFFICERS BY ALLOWING OUR OFFICERS TO UTILIZE THIS TO ENFORCE PARKING AND PARK PATROL AS WELL AS DOWNTOWN PATROL TO RESPOND TO CALLS OF SERVICE THIS WOULD ALLEVIATE THE NEED OF A GAS VEHICLE DOWNTOWN. WE CURRENTLY HAVE ONE OF THESE THAT NEED PARTS  OR CAN BE USED AS PARTS TO MAINTAIN OR GET THIS REPAIRED.</t>
  </si>
  <si>
    <t>2YTS0852209163</t>
  </si>
  <si>
    <t>OUTBOARD MOTOR,GASO</t>
  </si>
  <si>
    <t>THIS ASSET WOULD ALLOW OUR OFFICERS TO PUT THIS ON OUR BOAT THAT IS USED FOR ASSISTING IN SEARCH RESCUE AND RECOVERY OPERATIONS FOR CITIZENS THAT ARE STUCK IN THE FLOODING AREA OF OUR CITY. THIS WOULD ALLOW MY OFFICERS TO RESPOND IN A FASTER MORE EFFICIENT MANNER.</t>
  </si>
  <si>
    <t>2YTS0852410754</t>
  </si>
  <si>
    <t>THIS ASSET WOULD BENEFIT OUR AGENCY AND OFFICERS BY ALLOWING US TO UTILIZE THIS TO EXPAND AND ENHANCE OUR SHOOTING RANGE. THIS ASSET WOULD ALLOW IS TO GRIND DOWN STUMPS AND THEN MOVE THE DIRST WITH A DIFFERENT ATTACHEMENT FOR THIS ASSET. WE WOULD REPAIR THIS ASSET IF NEEDED</t>
  </si>
  <si>
    <t>2YTS0852410756</t>
  </si>
  <si>
    <t>THIS ASSET WOULD BENEFIT OUR AGENCY BY ALLOWING US TO UTILIZE THIS TO ENHANCE, MAINTAIN, AND EXPAND OUR RANGE AND TRAINING AREA. THIS ASSET WOULD BE VITAL IN BURM MAINTENANCE AND EXPANSION. WE WOULD REPAIR THIS ASSET AS NEEDED.</t>
  </si>
  <si>
    <t>2YTS0852410778</t>
  </si>
  <si>
    <t>DSFIRETRU</t>
  </si>
  <si>
    <t>FIRE TRUCK</t>
  </si>
  <si>
    <t>THIS ASSET WOULD BENEFIT OUR AGENCY AND OFFICERS BY ALLOWING US TO UTILIZE THIS AS A HEAVY RESCUE AND ENTRY VEHICLE. THIS VEHICLE WOULD BE UTILIZED TO CARRY BREACHING TOOLS, SEARCH AND RESCUE EQUIPMENT AS WELL AS PERSONAL. THIS WOULD ALSO BE USED A  DECON VEHICLE FOR WHEN OFFICER USE CHEMICALS DURING SUSPECT EXTRACTIONS FROM VEHICLES AND RESIDENCES. WE WOULD REPAIR THIS VEHICLE AS NEEDED.</t>
  </si>
  <si>
    <t>2YTS0852209179</t>
  </si>
  <si>
    <t>DSBUILDIN</t>
  </si>
  <si>
    <t>PREFABRICATED AND PORTABLE BUILDINGS</t>
  </si>
  <si>
    <t>THIS ASSET WOULD BENEFIT OUR AGENCY BY ALLOWING US TO UTILIZE THIS FOR MULTIPLE USES. OUR OFFICERS WOULD BENEFIT BY USING THIS AS A CAR SEAT CHECK TENT, DUI CHECKPOINT SHELTER, OUTDOOR TRAINING TENT DURING FIREARMS, CALLOUTS, TRIAGE TENT FOR ACTIVE EVENTS, OR A REUNIFICATION TENT FOR STUDENTS DURING AN ACTIVE EVENT.</t>
  </si>
  <si>
    <t>2YTS0852209479</t>
  </si>
  <si>
    <t>THIS ASSET WOULD BENEFIT OUR AGENCY AND OFFICERS BY ALLOWING US TO UTILIZE THIS TO STORE ITEMS OF EQUIPMENT AND EVIDENCE. THIS ASSET WOULD ALLOW US TO FREE UP SOME SPACE IN OUR EVIDENCE AND INVENTORY ROOM.</t>
  </si>
  <si>
    <t>2YTS0852209176</t>
  </si>
  <si>
    <t>DSMONIT08</t>
  </si>
  <si>
    <t>MONITOR, COMPUTER</t>
  </si>
  <si>
    <t>THESE ASSETS WOULD ASSIST OUR OFFICERS AND INVESTIGATORS BY ALLOWING US TO REPLACE OUR CURRENT OLD WORN OUT OR UNWORKING COMPUTER SCREENS WITH THESE SO THE OFFICERS CAN MORE EFFECTIVELY COMPLETE THEIR REPORTS AND FORMS WHILE INSIDE THE POLICE DEPARTMENT</t>
  </si>
  <si>
    <t>2YTS0852209197</t>
  </si>
  <si>
    <t>THIS ASSET WOULD BENEFIT OUR OFFICERS BY ALLOWING THEM TO STORE ITEMS SUCH AS LESS LETHAL LAUNCHER, FLASHBANGS, OTHER NON LETHAL MUNITIONS. THIS ASSET WOULD ASSIST THEM IN KEEPING THE ITEMS SAFE FROM THEFT AS WELL AS PROTECT THE MUNITIONS FROM DAMAGE DURING PATROL SHFITS</t>
  </si>
  <si>
    <t>2YTS0852209200</t>
  </si>
  <si>
    <t>THIS ASSET WOULD BENEFIT OUR AGENCY AND DETECTIVES BY ALLOWING THEM TO CONSOLIDATE MUTIPLE CRIME SCENE INVESTIGATION TOOLS INTO ONE CASE TO BETTER ASSIST THEM IN THEIR INVESTIGATIONS. THIS WOULD ALLOW THEM TO CARRY THEIR FINGERPRINT KITS, CAMERA, PAPERWORK, AND OTHER TOOLS IN ONE CASE RATHER THAN MULTIPLE.</t>
  </si>
  <si>
    <t>TELLICO PLAINS POLICE DEPT (2YTLRG)</t>
  </si>
  <si>
    <t>2YTLRG51433871</t>
  </si>
  <si>
    <t>QUESTIONS HAVE BEEN ASKED, AWAITING ANSWER. THE TOWN WILL ASSUME COSTS TO FIX THE VEHICLE, IF NEEDED. THIS VEHICLE WILL HELP WITH TAKING SUPPLIES TO AND FROM THE RANGE AND WILL HELP DURING TOWN EVENTS. THIS VEHICLE WOULD DEFINITELY HELP WITH SEARCH AND RESCUE HERE IN THE CHEROKEE MOUNTAINS.</t>
  </si>
  <si>
    <t>VONORE POLICE DEPT (2YTM3P)</t>
  </si>
  <si>
    <t>2YTM3P51716490</t>
  </si>
  <si>
    <t>THE VONORE POLICE DEPARTMENT WOULD UTILIZE THIS VEHICLE DURING TRAINING EVENTS TO TRANSPORT EQUIPMENT TO TRAINING SITES. THIS VEHICLE WOULD ALSO BE USED TO TRANSPORT CRIME SCENE EQUIPMENT TO CRIME SCENES.</t>
  </si>
  <si>
    <t>2YTM3P52209541</t>
  </si>
  <si>
    <t>THE VONORE POLICE DEPARTMENT WOULD UTILIZE THIS TRACTOR BY MAINTAINING THE DEPARTMENT IMPOUND LOT AND TRAINING GROUNDS. THIS TRACTOR WOULD ALSO BE USED TO TRANSPORT EVIDENCE TO DESTRUCTION SITES IN THE DESTRUCTION PROCESS. THE DEPARTMENT WOULD ACCEPT THIS TRACTOR IN THE CURRENT CONDITION.</t>
  </si>
  <si>
    <t>WASHINGTON COUNTY SHERIFFS OFFICE (2YTM9S)</t>
  </si>
  <si>
    <t>2YTM9S52340498</t>
  </si>
  <si>
    <t>IF AWARDED THIS DRONE WILL BE ASSIGNED TO THE SHERIFFS OFFICE DRONE TEAM AS A SECOND ASSET TO BE USED. THE TEAM CURRENTLY USES THE DRONE FOR MISSING PERSONS, COUNTER DRUG SURVEILLANCE, SWAT OPERATIONS AND NUMEROUS OTHER USES.</t>
  </si>
  <si>
    <t>2YTM9S52410886</t>
  </si>
  <si>
    <t>IF AWARDED THIS VEHICLE WOULD SERVE AS A MUCH NEEDED COMMAND VEHICLE FOR THE SHERIFFS OFFICE. THE VEHICLE WOULD BE USED WEEKLY IN TRAINING AND OPERATIONS WITH THE SHERIFFS COUNTER DRUG SST TEAM AND OTHER SPECIAL OPERATIONS TEAMS. AS OF NOW WE HAVE NOTHING LIKE THIS AND DO NOT HAVE THE BUDGET TO PURCHASE ONE. THIS WOULD BE AN AMAZING ASSET FOR THE SHERIFFS OFFICE AND WOULD HELP IN OUR CONTINUED EFFORT TO MAKE OUR COMMUNITY SAFER.</t>
  </si>
  <si>
    <t>2YTM9S51998437</t>
  </si>
  <si>
    <t>THE SHERIFFS OFFICE NEEDS NUMEROUS MOUNTS LIKE THESE TO ATTACH OUR NVGH'S TO OUR HELMETS.</t>
  </si>
  <si>
    <t>2YTM9S51997991</t>
  </si>
  <si>
    <t>TWENTY MORE OF THESE ARE NEEDED TO COMPLETELY OUTFIT THE SHERIFF'S TACTICAL UNITS. IF AWARDED, THESE NVGS WOULD BE ISSUED TO THE SHERIFFS SWAT AND SST MEMBERS TO BE USED IN COUNTER DRUG AND TACTICAL OPERATIONS. THESE WOULD GREATLY IMPROVE THEIR MISSION CAPABILITY AND ALSO SAFETY. WE DO NOT HAVE THE BUDGET TO PURCHASE THESE AND THE LEASE PROGRAM HAS NONE. CONDITION IS CONFIRMED AND ACCEPTED.</t>
  </si>
  <si>
    <t>2YTM9S51645757</t>
  </si>
  <si>
    <t>MORE OF THESE ARE NEEDED FOR THE SHERIFFS NEWLY CONSTRUCTED FIRING RANGE. THESE WILL HELP WITH SAFETY AND RICOCHETS.</t>
  </si>
  <si>
    <t>2YTM9S52068462</t>
  </si>
  <si>
    <t>COAT,BODY ARMOR,EXP</t>
  </si>
  <si>
    <t>IF AWARDED THIS WILL BE USED BY THE SHERIFFS SWAT AND SST TEAM MEMBERS FOR USE ON HIGH RISK WARRANTS WHERE THEN THREAT OF EXPLOSIVES OR HME EXISTS. WE CURRENTLY DON'T HAVE THIS TYPE OF EQUIPMENT.</t>
  </si>
  <si>
    <t>WINCHESTER POLICE DEPT (2YTNR5)</t>
  </si>
  <si>
    <t>2YTNR551787050</t>
  </si>
  <si>
    <t>THIS ITEM WILL BE USED BY THE WINCHESTER POLICE DEPARTMENT FOR LAW ENFORCEMENT PURPOSES BY OFFICERS IN NIGHT OR LOW LIGHT SCENARIOS. WE CURRENTLY DO NOT HAVE EQUIPMENT WITH THIS CAPABILITY. WE HAVE CONTACTED THE LOCATION, VIEWED THE ITEM CONDITION AND DO ACCEPT THE ITEM'S CONDITION.</t>
  </si>
  <si>
    <t>2YTNR551787051</t>
  </si>
  <si>
    <t>TX</t>
  </si>
  <si>
    <t>ARP POLICE DEPT (2YTANX)</t>
  </si>
  <si>
    <t>2YTANX52481347</t>
  </si>
  <si>
    <t>THE FIREARMS CLEANING KITS WILL BE USED BY THE ARP POLICE DEPARTMENT FOR LAW ENFORCEMENT PURPOSES ONLY. OFFICERS WILL USE THE CLEANING KITS TO CLEAN DEPARTMENT AND LESO ISSUED FIREARMS.</t>
  </si>
  <si>
    <t>2YTANX51786577</t>
  </si>
  <si>
    <t>DSMISCWAA</t>
  </si>
  <si>
    <t>MISC WEAPON ACCESSORIES DEMIL A</t>
  </si>
  <si>
    <t>THE ACCESSORIES WILL BE USED BY THE ARP POLICE DEPARTMENT FOR LAW ENFORCEMENT PURPOSES ONLY. ARP PD WILL ATTACH THE ACCESSORIES TO PD ISSUED FIREARMS.</t>
  </si>
  <si>
    <t>2YTANX52481343</t>
  </si>
  <si>
    <t>THE UTV WILL BE USED BY THE ARP POLICE DEPARTMENT FOR LAW ENFORCEMENT PURPOSES ONLY. THE CITY OF ARP IS A FARMING COMMUNITY WITH LARGE TRACTS OF LAND. OFFICERS WILL USE THE UTV FOR SEARCHING FOR ELDERLY WITH DEMENTIA, MISSING CHILDREN AND SUSPECTS. THE LAST 2 ATVS HAD SIGNIFICANT REPAIRS NEEDED TO THE TRANSMISSIONS AND ENGINES THAT WERE TOO COSTLY TO REPAIR.</t>
  </si>
  <si>
    <t>2YTANX52410762</t>
  </si>
  <si>
    <t>THE UTV WILL BE USED BY THE ARP POLICE DEPARTMENT FOR LAW ENFORCEMENT PURPOSES ONLY. THE CITY OF ARP IS A FARMING COMMUNITY WITH LARGE TRACTS OF LAND. OFFICERS WILL USE THE UTV FOR SEARCHING FOR MISSING ELDERLY WITH DEMENTIA, MISSING CHILDREN AND SUSPECTS. THE LAST 2 ATVS ARP PD HAS BEEN AWARDED WERE UNABLE TO BE REPAIRED DUE TO EXTENSIVE ENGINE AND TRANSMISSION PROBLEMS.</t>
  </si>
  <si>
    <t>2YTANX52209214</t>
  </si>
  <si>
    <t>THE TRUCK WILL BE USED BY THE ARP POLICE DEPARTMENT FOR LAW ENFORCEMENT PURPOSES ONLY. ARP PD WILL USE THE TRUCK ON PATROL AND FOR PICKING UP LESO AWARDED EQUIPMENT.</t>
  </si>
  <si>
    <t>2YTANX52410760</t>
  </si>
  <si>
    <t>THE ATV WILL BE USED BY THE ARP POLICE DEPARTMENT FOR LAW ENFORCEMENT PURPOSES ONLY. THE CITY OF ARP IS A FARMING COMMUNITY WITH LARGE TRACTS OF LAND. OFFICERS WILL USE THE ATV FOR SEARCHING FOR MISSING ELDERLY WITH DEMENTIA, MISSING CHILDREN AND SUSPECTS. THE LAST 2 ATVS ARP PD HAS BEEN AWARDED WERE UNABLE TO BE REPAIRED DUE TO EXTENSIVE ENGINE AND TRANSMISSION PROBLEMS.</t>
  </si>
  <si>
    <t>2YTANX52411396</t>
  </si>
  <si>
    <t>THE MOTORIZED CART WILL BE USED BY THE ARP POLICE DEPARTMENT FOR LAW ENFORCEMENT PURPOSES ONLY. THE CITY OF ARP IS A FARMING COMMUNITY WITH LARGE TRACTS OF LAND. OFFICERS WILL USE THE CART FOR SEARCHING FOR MISSING ELDERLY WITH DEMENTIA, MISSING CHILDREN AND SUSPECTS.</t>
  </si>
  <si>
    <t>2YTANX52279889</t>
  </si>
  <si>
    <t>KIT,TOOL QUALITY CO</t>
  </si>
  <si>
    <t>THE TOOLS WILL BE USED BY THE ARP POLICE DEPARTMENT FOR LAW ENFORCEMENT PURPOSES ONLY. ARP PD HAS AN OFFICER WITH HIS 2 YEAR DEGREE IN AUTOMOTIVE MECHANICS. THE OFFICER PERFORMS BASIC MAINTENANCE ON OUR UNITS AND LESO EQUIPMENT.</t>
  </si>
  <si>
    <t>2YTANX52209912</t>
  </si>
  <si>
    <t>BAR,PINCH,26IN</t>
  </si>
  <si>
    <t>THE PINCH BAR WILL BE USED BY THE ARP POLICE DEPARTMENT FOR LAW ENFORCEMENT PURPOSES ONLY. ARP PD HAS AN OFFICER WITH HIS 2 YEAR DEGREE IN AUTOMOTIVE MECHANICS. THE OFFICER PERFORMS BASIC MAINTENANCE ON OUR UNITS AND LESO EQUIPMENT.</t>
  </si>
  <si>
    <t>2YTANX52481333</t>
  </si>
  <si>
    <t>THE LAWN MOWER WILL BE USED BY THE ARP POLICE DEPARTMENT FOR LAW ENFORCEMENT PURPOSES ONLY. OFFICERS WILL USE THE LAWN MOWER TO MOW THE AREAS AROUND THE POLICE DEPARTMENT FIREARMS RANGE, SEIZURE LOT AND EQUIPMENT LOT. THE LAST 2 LAWN MOWERS THAT WERE AWARDED THROUGH THE LESO PROGRAM HAS HOLES DRILLED THRU THE FUEL TANKS AND WERE UNABLE TO BE REPAIRED.</t>
  </si>
  <si>
    <t>2YTANX51857188</t>
  </si>
  <si>
    <t>BLANKET,FIRE</t>
  </si>
  <si>
    <t>THE FIRE BLANKETS WILL BE USED BY THE ARP POLICE DEPARTMENT FOR LAW ENFORCEMENT PURPOSES ONLY. THE FIRE BLANKETS WILL BE USED DURING TRAFFIC ACCIDENTS OR FIRES TO HELP PUT OUT FIRES.</t>
  </si>
  <si>
    <t>2YTANX51927490</t>
  </si>
  <si>
    <t>RESPIRATOR,PARTICUL</t>
  </si>
  <si>
    <t>THE RESPIRATORS WILL BE USED THE ARP POLICE DEPARTMENT FOR LAW ENFORCEMENT PURPOSES ONLY BY PROVIDING A WAY TO PROTECT OFFICERS FROM AIRBORNE HAZARDS.</t>
  </si>
  <si>
    <t>2YTANX51857194</t>
  </si>
  <si>
    <t>INFLATOR-GAGE,PNEUM</t>
  </si>
  <si>
    <t>THE INFLATOR GAUGE WILL BE USED BY THE ARP POLICE DEPARTMENT FOR LAW ENFORCEMENT PURPOSES ONLY. OFFICERS WILL USE THE INFLATOR GAUGES WITH LESO AWARDED AIR COMPRESSOR TO INFLATE TIRES ON OUR PATROL UNITS.</t>
  </si>
  <si>
    <t>2YTANX51927498</t>
  </si>
  <si>
    <t>EXTENSION,SOCKET WRENCH</t>
  </si>
  <si>
    <t>THE SOCKET WRENCH EXTENSION WILL BE USED BY THE ARP POLICE DEPARTMENT FOR LAW ENFORCEMENT PURPOSES ONLY. ARP PD HAS AN OFFICER WITH HIS 2 YEAR DEGREE IN AUTOMOTIVE MECHANICS. THE OFFICERS PROVIDES ALL BASIC MAINTENANCE TO THE PD AND LESO AWARDED VEHICLES AND EQUIPMENT.</t>
  </si>
  <si>
    <t>2YTANX52279898</t>
  </si>
  <si>
    <t>BAR,PRY</t>
  </si>
  <si>
    <t>THE PRY BAR WILL BE USED BY THE ARP POLICE DEPARTMENT FOR LAW ENFORCEMENT PURPOSES ONLY. ARP PD HAS AN OFFICER WITH HIS 2 YEAR DEGREE IN AUTOMOTIVE MECHANICS. THE OFFICER PERFORMS BASIC MAINTENANCE ON OUR UNITS AND LESO EQUIPMENT.</t>
  </si>
  <si>
    <t>2YTANX51927496</t>
  </si>
  <si>
    <t>WRENCH,BOX AND OPEN END,COMBINATION</t>
  </si>
  <si>
    <t>THE WRENCH WILL BE USED BY THE ARP POLICE DEPARTMENT FOR LAW ENFORCEMENT PURPOSES ONLY. ARP PD HAS AN OFFICER WITH HIS 2 YEAR DEGREE IN AUTOMOTIVE MECHANICS. THE OFFICERS PROVIDES ALL BASIC MAINTENANCE TO THE PD AND LESO AWARDED VEHICLES AND EQUIPMENT.</t>
  </si>
  <si>
    <t>2YTANX51927495</t>
  </si>
  <si>
    <t>2YTANX51927494</t>
  </si>
  <si>
    <t>2YTANX51927493</t>
  </si>
  <si>
    <t>2YTANX52410944</t>
  </si>
  <si>
    <t>PLIERS,WIRE TWISTER</t>
  </si>
  <si>
    <t>THE WIRE TWISTER PLIERS WILL BE USED BY THE ARP POLICE DEPARTMENT FOR LAW ENFORCEMENT PURPOSES ONLY. THE WIRE TWISTER PLIERS WILL BE USED BY OFFICERS TO PERFORM ELECTRICAL REPAIRS ON PD VEHICLES AND LESO AWARDED EQUIPMENT.</t>
  </si>
  <si>
    <t>2YTANX51927497</t>
  </si>
  <si>
    <t>2YTANX52279897</t>
  </si>
  <si>
    <t>THE PLIERS WILL BE USED BY THE ARP POLICE DEPARTMENT FOR LAW ENFORCEMENT PURPOSES ONLY. ARP PD HAS AN OFFICER WITH HIS 2 YEAR DEGREE IN AUTOMOTIVE MECHANICS. THE OFFICER PERFORMS BASIC MAINTENANCE ON OUR UNITS AND LESO EQUIPMENT.</t>
  </si>
  <si>
    <t>2YTANX52279895</t>
  </si>
  <si>
    <t>WRENCH,ADJUSTABLE</t>
  </si>
  <si>
    <t>THE ADJUSTABLE WRENCH WILL BE USED BY THE ARP POLICE DEPARTMENT FOR LAW ENFORCEMENT PURPOSES ONLY. ARP PD HAS AN OFFICER WITH HIS 2 YEAR DEGREE IN AUTOMOTIVE MECHANICS. THE OFFICER PERFORMS BASIC MAINTENANCE ON OUR UNITS AND LESO EQUIPMENT.</t>
  </si>
  <si>
    <t>2YTANX52279894</t>
  </si>
  <si>
    <t>SCREWDRIVER,CROSS TIP</t>
  </si>
  <si>
    <t>THE CROSS TIP SCREWDRIVER WILL BE USED BY THE ARP POLICE DEPARTMENT FOR LAW ENFORCEMENT PURPOSES ONLY. ARP PD HAS AN OFFICER WITH HIS 2 YEAR DEGREE IN AUTOMOTIVE MECHANICS. THE OFFICER PERFORMS BASIC MAINTENANCE ON OUR UNITS AND LESO EQUIPMENT.</t>
  </si>
  <si>
    <t>2YTANX52279893</t>
  </si>
  <si>
    <t>2YTANX52279892</t>
  </si>
  <si>
    <t>PUNCH,DRIFT</t>
  </si>
  <si>
    <t>THE DRIFT PUNCH WILL BE USED BY THE ARP POLICE DEPARTMENT FOR LAW ENFORCEMENT PURPOSES ONLY. ARP PD HAS AN OFFICER WITH HIS 2 YEAR DEGREE IN AUTOMOTIVE MECHANICS. THE OFFICER PERFORMS BASIC MAINTENANCE ON OUR UNITS AND LESO EQUIPMENT.</t>
  </si>
  <si>
    <t>2YTANX52279890</t>
  </si>
  <si>
    <t>KNIFE,PUTTY</t>
  </si>
  <si>
    <t>THE PUTTY KNIFE WILL BE USED BY THE ARP POLICE DEPARTMENT FOR LAW ENFORCEMENT PURPOSES ONLY. OFFICERS WILL USE THE PUTTY KNIFE TO FILL HOLES IN THE WALLS OF THE OFFICE SPACES BEFORE PAINTING.</t>
  </si>
  <si>
    <t>2YTANX52279891</t>
  </si>
  <si>
    <t>PUNCH,DRIVE PIN</t>
  </si>
  <si>
    <t>THE DRIVE PIN PUNCH WILL BE USED BY THE ARP POLICE DEPARTMENT FOR LAW ENFORCEMENT PURPOSES ONLY. ARP PD HAS AN OFFICER WITH HIS 2 YEAR DEGREE IN AUTOMOTIVE MECHANICS. THE OFFICER PERFORMS BASIC MAINTENANCE ON OUR UNITS AND LESO EQUIPMENT.</t>
  </si>
  <si>
    <t>2YTANX51927499</t>
  </si>
  <si>
    <t>THE IMPACT DRILL WILL BE USED BY THE ARP POLICE DEPARTMENT FOR LAW ENFORCEMENT PURPOSES ONLY. ARP PD HAS AN OFFICER WITH HIS 2 YEAR DEGREE IN AUTOMOTIVE MECHANICS. THE OFFICERS PROVIDES ALL BASIC MAINTENANCE TO THE PD AND LESO AWARDED VEHICLES AND EQUIPMENT.</t>
  </si>
  <si>
    <t>2YTANX52209908</t>
  </si>
  <si>
    <t>THE SMALL ARMS TOOLS WILL BE USED BY THE ARP POLICE DEPARTMENT FOR LAW ENFORCEMENT PURPOSES ONLY. ARP PD HAS A GLOCK CERTIFIED AND AR15 ARMORER ON STAFF. THE OFFICER WILL USE THE SMALL ARMS TOOL KIT TO REPAIR AND PERFORM PREVENTATIVE MAINTENANCE ON DEPARTMENT ISSUED FIREARMS AND LESO ISSUED M16S.</t>
  </si>
  <si>
    <t>2YTANX51857199</t>
  </si>
  <si>
    <t>LADDER,STRAIGHT</t>
  </si>
  <si>
    <t>THE LADDER WILL BE USED BY THE ARP POLICE DEPARTMENT FOR LAW ENFORCEMENT PURPOSES ONLY. THE LADDER WILL BE USED BY OFFICERS FOR VEHICLE AND BUILDING MAINTENANCE.</t>
  </si>
  <si>
    <t>2YTANX52279903</t>
  </si>
  <si>
    <t>THE HEADSETS WILL BE USED BY THE ARP POLICE DEPARTMENT FOR LAW ENFORCEMENT PURPOSES ONLY. ARP PD HAS 2 OFFICERS ON A REGIONAL SWAT TEAM. THE OFFICERS WILL USE THE HEADSETS DURING SWAT OPERATIONS.</t>
  </si>
  <si>
    <t>2YTANX51786587</t>
  </si>
  <si>
    <t>THE SPEED MONITORING TRAILER WILL BE USED BY THE ARP POLICE DEPARTMENT FOR LAW ENFORCEMENT PURPOSES ONLY. THE SPEED MONITORING TRAILER WILL BE DEPLOYED TO AREAS WITHIN THE CITY WHERE SPEEDERS ARE MOST COMMON.</t>
  </si>
  <si>
    <t>2YTANX52481483</t>
  </si>
  <si>
    <t>MEDICAL KIT,STANDAR</t>
  </si>
  <si>
    <t>THE STANDARD VEHICLE MEDICAL KIT WILL BE USED BY THE ARP POLICE DEPARTMENT FOR LAW ENFORCEMENT PURPOSES ONLY. OFFICERS WILL UTILIZE THE FOLDING LITTER FOR CASUALTY EXTRACTION DURING AN ACTIVE SHOOTER EVENT. EACH PATROL UNIT WILL BE OUTFITTED WITH A KIT.</t>
  </si>
  <si>
    <t>2YTANX51786579</t>
  </si>
  <si>
    <t>SPEAKERS,COMPUTER</t>
  </si>
  <si>
    <t>THE COMPUTER SPEAKERS WILL BE USED BY THE ARP POLICE DEPARTMENT FOR LAW ENFORCEMENT PURPOSES ONLY. THE COMPUTER SPEAKERS WILL BE USED BY OFFICERS TO REVIEW EVIDENTIARY VIDEOS AND AUDIO WHILE PREPARING CASES FOR SUBMISSION.</t>
  </si>
  <si>
    <t>2YTANX51837488</t>
  </si>
  <si>
    <t>DESK,FIELD</t>
  </si>
  <si>
    <t>THE DESK WILL BE USED BY THE ARP POLICE DEPARTMENT FOR LAW ENFORCEMENT PURPOSES ONLY BY PROVIDING A DESK FOR OFFICERS TO WORK ON PROCESSING EVIDENCE.</t>
  </si>
  <si>
    <t>2YTANX52461951</t>
  </si>
  <si>
    <t>DSSTORAG2</t>
  </si>
  <si>
    <t>STORAGE BIN</t>
  </si>
  <si>
    <t>THE STORAGE BINS WILL BE USED BY THE ARP POLICE DEPARTMENT FOR LAW ENFORCEMENT PURPOSES ONLY. THE STORAGE BINS WILL BE USED TO STORE PD PURCHASED AND LESO AWARDED EQUIPMENT AND GEAR IN THE BACK OF PATROL UNITS FOR USE BY OFFICERS.</t>
  </si>
  <si>
    <t>2YTANX51857203</t>
  </si>
  <si>
    <t>FUNNEL</t>
  </si>
  <si>
    <t>THE FUNNELS WILL BE USED BY THE ARP POLICE DEPARTMENT FOR LAW ENFORCEMENT PURPOSES ONLY BY ALLOWING OFFICERS TO FILL FLUIDS IN PD AND LESO AWARDED VEHICLES AND EQUIPMENT.</t>
  </si>
  <si>
    <t>2YTANX52410764</t>
  </si>
  <si>
    <t>THE GYM WILL BE USED BY THE ARP POLICE DEPARTMENT FOR LAW ENFORCEMENT PURPOSES ONLY. ARP PD HAS AN OFFICER WELLNESS PROGRAM THAT ALLOWS OFFICERS TO WORKOUT WHILE ON DUTY.</t>
  </si>
  <si>
    <t>2YTANX51927487</t>
  </si>
  <si>
    <t>THE BROOMS WILL BE USED BY THE ARP POLICE DEPARTMENT FOR LAW ENFORCEMENT PURPOSES ONLY BY PROVIDING A WAY FOR OFFICERS TO SWEEP PD AND GYM FLOORS.</t>
  </si>
  <si>
    <t>2YTANX51786787</t>
  </si>
  <si>
    <t>BUCKET,MOP</t>
  </si>
  <si>
    <t>THE MOP BUCKET WILL BE USED BY THE ARP POLICE DEPARTMENT FOR LAW ENFORCEMENT PURPOSES ONLY BY PROVIDING A BUCKET FOR OFFICERS TO MOP THE FLOORS OF THE PD.</t>
  </si>
  <si>
    <t>2YTANX51927489</t>
  </si>
  <si>
    <t>CAP,SYNTHESIS,MICRO</t>
  </si>
  <si>
    <t>THE SYNTHETIC CAPS WILL BE USED BY THE ARP POLICE DEPARTMENT FOR LAW ENFORCEMENT PURPOSES ONLY BY PROVIDING A CAP FOR INCLEMENT WEATHER FOR OFFICERS.</t>
  </si>
  <si>
    <t>2YTANX52209905</t>
  </si>
  <si>
    <t>GLOVES,DISPOSABLE</t>
  </si>
  <si>
    <t>THE DISPOSABLE GLOVES WILL BE USED BY THE ARP POLICE DEPARTMENT FOR LAW ENFORCEMENT PURPOSES ONLY. THE DISPOSABLE GLOVES WILL PROVIDE PROTECTION TO OFFICERS WHILE HANDLING ILLEGAL NARCOTICS AND SEARCHING SUSPECTS.</t>
  </si>
  <si>
    <t>2YTANX52482019</t>
  </si>
  <si>
    <t>PARKA,WORKING</t>
  </si>
  <si>
    <t>THE PARKAS WILL BE USED BY THE ARP POLICE DEPARTMENT FOR LAW ENFORCEMENT PURPOSES ONLY. OFFICER WILL WEAR THE PARKAS TO PROTECT THEMSELVES FROM THE ELEMENTS.</t>
  </si>
  <si>
    <t>2YTANX52482018</t>
  </si>
  <si>
    <t>THE PARKAS WILL BE USED BY THE ARP POLICE DEPARTMENT FOR LAW ENFORCEMENT PURPOSES ONLY. OFFICERS WILL WEAR THE PARKAS TO PROTECT THEMSELVES FROM THE ELEMENTS.</t>
  </si>
  <si>
    <t>2YTANX52482017</t>
  </si>
  <si>
    <t>THE PARKA WILL BE USED BY THE ARP POLICE DEPARTMENT FOR LAW ENFORCEMENT PURPOSES ONLY. OFFICER WILL WEAR THE PARKAS TO PROTECT THEMSELVES FROM THE ELEMENTS.</t>
  </si>
  <si>
    <t>2YTANX52482016</t>
  </si>
  <si>
    <t>THE GLOVES WILL BE USED BY THE ARP POLICE DEPARTMENT FOR LAW ENFORCEMENT PURPOSES ONLY. OFFICERS WILL USE THE GLOVES TO PROTECT THEIR HANDS FROM THE ELEMENTS.</t>
  </si>
  <si>
    <t>2YTANX52279901</t>
  </si>
  <si>
    <t>BELT RIGGERS FR</t>
  </si>
  <si>
    <t>THE RIGGERS BELT WILL BE USED BY THE ARP POLICE DEPARTMENT FOR LAW ENFORCEMENT PURPOSES ONLY. OFFICERS WILL BE ISSUED THE BELTS TO GO WITH THEIR TRAINING UNIFORMS.</t>
  </si>
  <si>
    <t>2YTANX51857183</t>
  </si>
  <si>
    <t>REFLECTOR SET,HIGHWAY WARNING,TRIANGULAR</t>
  </si>
  <si>
    <t>THE TRIANGULAR REFLECTORS WILL BE USED BY THE ARP POLICE DEPARTMENT FOR LAW ENFORCEMENT PURPOSES ONLY. THE REFLECTORS WILL BE USED BY OFFICERS ON TRAFFIC ACCIDENTS TO HELP WARN ONCOMING TRAFFIC.</t>
  </si>
  <si>
    <t>AUSTIN POLICE DEPT (2YTASC)</t>
  </si>
  <si>
    <t>2YTASC52622403</t>
  </si>
  <si>
    <t>THIS WILL BE USED BY THE AUSTIN POLICE DEPARTMENT TO FOR LAW ENFORCEMENT PURPOSES ONLY.</t>
  </si>
  <si>
    <t>2YTASC52411127</t>
  </si>
  <si>
    <t>THIS WILL BE USED FOR LAW ENFORCEMENT PURPOSES ONLY BY THE AUSTIN POLICE DEPARTMENT AT OUR TRAINING FACILITY.</t>
  </si>
  <si>
    <t>2YTASC52472186</t>
  </si>
  <si>
    <t>THIS ITEM WILL BE USED BY THE AUSTIN POLICE DEPARTMENT FOR LAW ENFORCEMENT PURPOSES ONLY.</t>
  </si>
  <si>
    <t>2YTASC52341106</t>
  </si>
  <si>
    <t>THESE ITEMS WILL ONLY BE USED BY THE AUSTIN POLICE DEPARTMENT FOR LAW ENFORCEMENT STORAGE PURPOSES.</t>
  </si>
  <si>
    <t>2YTASC52341105</t>
  </si>
  <si>
    <t>2YTASC52200083</t>
  </si>
  <si>
    <t>FOR USE FOR LE SWAT STORAGE APPLICATION. THIS ITEM WILL ONLY BE USED BY AUSTIN PD FOR LAW ENFORCEMENT PURPOSES ONLY TO KEEP ITEMS OUT OF THE ELEMENTS</t>
  </si>
  <si>
    <t>2YTASC52200084</t>
  </si>
  <si>
    <t>THIS WILL BE USED FOR LAW ENFORCEMENT PURPOSES ONLY BY THE AUSTIN POLICE DEPARTMENT TO STORE EQUIPMENT OUT OF THE ELEMENTS.</t>
  </si>
  <si>
    <t>BASTROP CSO (2YTN6A)</t>
  </si>
  <si>
    <t>2YTN6A52340543</t>
  </si>
  <si>
    <t>FOR USE BY THE BASTROP COUNTY SHERIFF'S OFFICE FOR VEHICLE AND RANGE MAINTENANCE OF SHERIFF DEPARTMENT EQUIPMENT.</t>
  </si>
  <si>
    <t>2YTN6A52139609</t>
  </si>
  <si>
    <t>FOR USE BY THE BASTROP COUNTY SHERIFF'S OFFICE FOR TARGET DESIGNATOR IN UNISON WITH NIGHT VISION, AND LOW LIGHT WEAPON TRAINING.</t>
  </si>
  <si>
    <t>2YTN6A51575727</t>
  </si>
  <si>
    <t>IMAGE INTENSIFIER,N</t>
  </si>
  <si>
    <t>FOR USE BY THE BASTROP COUNTY SHERIFF'S OFFICE FOR NIGHT TIME TRAINING AND DEPLOYMENT, THE SHERIFF'S OFFICE HAS TRAINED AND COMPETENT PERSONNEL FAMILIAR WITH SUCH DEVICES AND CAN SERVICE THEM APPROPRIATELY.  I HAVE CONTACTED THE RED RIVER FACILITY AND HAVE BEEN ADVISED THE INTENSIFIERS ARE SERVICEABLE AND CAN BE USED IN THE PROPER BODY.</t>
  </si>
  <si>
    <t>2YTN6A52340544</t>
  </si>
  <si>
    <t>FOR USE BY THE BASTROP COUNTY SHERIFF'S DEPT FOR MOBILE POWER STATION FOR TRAINING PURPOSES AND EMERGENCY SCENE AND INCIDENT EQUIPMENT.</t>
  </si>
  <si>
    <t>2YTN6A52270542</t>
  </si>
  <si>
    <t>FOR USE BY THE BASTROP COUNTY SHERIFF'S OFFICE FOR COLLECTING EVIDENCE AND PHOT INTELLIGENCE.</t>
  </si>
  <si>
    <t>2YTN6A52340546</t>
  </si>
  <si>
    <t>CASE SET,TRANSPORT AND STORAGE</t>
  </si>
  <si>
    <t>FOR USE BY THE BASTROP COUNTY SHERIFF'S DEPT FOR SAFE STORAGE AND TRANSPORT OF ELECTRONIC EQUIPMENT.</t>
  </si>
  <si>
    <t>CALDWELL CSO (2YTBTY)</t>
  </si>
  <si>
    <t>2YTBTY51786901</t>
  </si>
  <si>
    <t>INSERT,INDIVIDUAL F</t>
  </si>
  <si>
    <t>THESE ITEMS ARE FOR LAW ENFORCEMENT AND WILL BE USED FOR LAW ENFORCEMENT PURPOSES BY THE CALDWELL COUNTY SHERIFF'S OFFICE. THE ITEMS WOULD BE UTILIZED BY THE SHERIFF'S OFFICE DEPUTIES TO CARRY LIFE SAVING SUPPLIES AND USED DURING A LIFE SAVING EVENT.</t>
  </si>
  <si>
    <t>2YTBTY51786900</t>
  </si>
  <si>
    <t>POUCH,FIRST AID KIT</t>
  </si>
  <si>
    <t>DHS/CBP PATROL EL PASO (2YTMDH)</t>
  </si>
  <si>
    <t>2YTMDH5217JG01</t>
  </si>
  <si>
    <t>HARRIS CSO (2YTE5N)</t>
  </si>
  <si>
    <t>2YTE5N52270008</t>
  </si>
  <si>
    <t>THIS EQUIPMENT WILL BE UTILIZED BY THE HARRIS COUNTY SHERIFF'S OFFICE WHICH WILL BE USED TO LOAD AND UNLOAD LARGE PIECES OF EVIDENCE FROM A CRIME. IT WILL ALSO BE USED DURING A NATURAL DISASTER OR TERRORIST EVENT TO LOAD AND UNLOAD EQUIPMENT NEEDED FOR THE EVENT.</t>
  </si>
  <si>
    <t>2YTE5N52279951</t>
  </si>
  <si>
    <t>THESE MACHINES WILL BE UTILIZED BY THE HARRIS COUNTY SHERIFF'S OFFICE, DURING DISASTERS AND CRUCIAL TIMES WHEN THE POWER IS OUT AND POLICE DUTIES NEED TO BE PERFORMED, SUCH AS POWERING WORKSTATIONS AND COMPUTERS.</t>
  </si>
  <si>
    <t>2YTE5N52279948</t>
  </si>
  <si>
    <t>THESE MACHINES WILL BE UTILIZED BY THE HARRIS COUNTY SHERIFF'S OFFICE TO POWER COMPUTERS AND WORKSTATIONS DURING TIME OF DISASTERS, AND CRUCIAL TIMES WHEN NO POWER IS AVAILABLE TO BE ABLE TO PERFORM POLICE DUTIES.</t>
  </si>
  <si>
    <t>2YTE5N52279949</t>
  </si>
  <si>
    <t>THE MACHINES WILL BE UTILIZED BY THE HARRIS COUNTY SHERIFF'S OFFICE DURING THE TIME OF DISASTERS, OR CRUCIAL TIMES WHEN THERE IS A POWER OUTAGE AND POLICE DUTIES STILL NEED TO BE PERFORMED POWERING COMPUTERS AND WORKSTATIONS.</t>
  </si>
  <si>
    <t>2YTE5N52279950</t>
  </si>
  <si>
    <t>HOUSTON POLICE DEPT (2YTFKH)</t>
  </si>
  <si>
    <t>2YTFKH52411552</t>
  </si>
  <si>
    <t>TRUCK WILL BE USED BY HOUSTON POLICE OFFICERS IN THE 1033 UNIT TO RETRIEVE AWARDED PROPERTY FROM THE MILITARY AND DELIVER IT TO HOUSTON POLICE STATIONS TO ENHANCE EFFECTIVENESS OF PROVIDING SERVICE TO THE CITIZENS OF HOUSTON.</t>
  </si>
  <si>
    <t>2YTFKH51998364</t>
  </si>
  <si>
    <t>ATV WILL BE USED BY HOUSTON POLICE OFFICERS IN THE HOUSTON POLICE FIREARMS TRAINING UNIT TO TRANSPORT AMMO, TARGETS, AND OTHER TRAINING EQUIPMENT BETWEEN INDOOR AND OUTDOOR FIRING RANGES USED IN TRAINING EXERCISES AT THE HOUSTON POLICE ACADEMY</t>
  </si>
  <si>
    <t>2YTFKH51928227</t>
  </si>
  <si>
    <t>OIL PAN</t>
  </si>
  <si>
    <t>OIL PANS WILL BE USED BY HOUSTON POLICE OFFICERS IN THE HIGH WATER RESCUE UNIT TO REPLACE DAMAGED PANS ON HOUSTON POLICE HIGH WATER RESCUE TRUCK TRANSMISSIONS TO MAINTAIN MISSION READINESS FOR DEPLOYMENT DURING ENVIRONMENTAL DISASTERS IN THE CITY</t>
  </si>
  <si>
    <t>2YTFKH52482007</t>
  </si>
  <si>
    <t>PUMP ASSEMBLY,POWER</t>
  </si>
  <si>
    <t>POWER STEERING PUMP WILL BE USED BY HOUSTON POLICE OFFICERS IN THE HIGH WATER RESCUE UNIT TO REPLACE DAMAGED AND INOPERABLE PUMPS ON HOUSTON POLICE HIGH WATER RESCUE HUMVEES TO MAINTAIN MISSION READINESS AND EFFECTIVENESS FOR DEPLOYMENT DURING ENVIRONMENTAL DISASTERS IN THE CITY.</t>
  </si>
  <si>
    <t>2YTFKH51998226</t>
  </si>
  <si>
    <t>SPINDLE,WHEEL,DRIVI</t>
  </si>
  <si>
    <t>SPINDLE WILL BE USED BY HOUSTON POLICE OFFICERS IN THE HIGH WATER RESCUE UNIT TO REPLACE DAMAGED AND INOPERABLE SPINDLE ON HOUSTON POLICE HIGH WATER RESCUE TRUCKS TO MAINTAIN MISSION READINESS AND EFFECTIVENESS DURING ENVIRONMENTAL DISASTERS IN THE CITY</t>
  </si>
  <si>
    <t>2YTFKH51646379</t>
  </si>
  <si>
    <t>SENSOR,ANTI-LOCK BR</t>
  </si>
  <si>
    <t>ABS SENSOR WILL BE USED BY HOUSTON POLICE OFFICERS IN THE HIGH WATER RESCUE UNIT TO REPLACE DAMAGED AND INOPERABLE SENSORS ON HOUSTON POLICE HIGH WATER RESCUE TRUCKS TO MAINTAIN MISSION READINESS AND EFFECTIVENESS DURING DEPLOYMENTS FOR RESCUES IN ENVIRONMENTAL DISASTERS IN THE CITY</t>
  </si>
  <si>
    <t>2YTFKH52551888</t>
  </si>
  <si>
    <t>COVER,FITTED,VEHICU</t>
  </si>
  <si>
    <t>CARGO BED COVERS WILL BE USED BY HOUSTON POLICE OFFICERS IN THE HIGH WATER RESCUE UNIT TO REPLACE DAMAGED AND WORN CARGO BED COVERS ON HOUSTON POLICE HIGH WATER RESCUE TRUCKS TO MAINTAIN MISSION READINESS AND EFFECTIVENESS FOR DEPLOYMENT DURING NATURAL DISASTERS IN THE CITY.</t>
  </si>
  <si>
    <t>2YTFKH52411404</t>
  </si>
  <si>
    <t>COVER WILL BE USED BY HOUSTON POLICE OFFICERS IN THE HIGH WATER RESCUE UNIT TO REPLACE DAMAGED CARGO COVERS ON HOUSTON POLICE HIGH WATER RESCUE TRUCKS TO MAINTAIN MISSION READINESS AND EFFECTIVENESS DURING ENVIRONMENTAL DISASTERS IN THE CITY</t>
  </si>
  <si>
    <t>2YTFKH51716381</t>
  </si>
  <si>
    <t>REGULATOR,VEHICLE W</t>
  </si>
  <si>
    <t>WINDOW REGULATOR WILL BE USED BY HOUSTON POLICE OFFICERS IN THE HIGH WATER RESCUE UNIT TO REPLACE DAMAGED AND INOPERABLE WINDOW REGULATORS ON HOUSTON POLICE HIGH WATER RESCUE TRUCKS TO MAINTAIN MISSION READINESS AND EFFECTIVENESS FOR DEPLOYMENT DURING ENVIRONMENTAL DISASTERS IN THE CITY</t>
  </si>
  <si>
    <t>2YTFKH51645688</t>
  </si>
  <si>
    <t>MIRROR HEAD,VEHICUL</t>
  </si>
  <si>
    <t>MIRRORS WILL BE USED BY HOUSTON POLICE OFFICERS IN THE HIGH WATER RESCUE UNIT TO REPLACE DAMAGED MIRRORS ON HOUSTON POLICE HIGH WATER RESCUE TRUCKS TO ENSURE SAFETY AS WELL AS MAINTAINING MISSION READINESS AND EFFECTIVENESS FOR DEPLOYMENTS IN ENVIRONMENTAL DISASTERS IN THE CITY</t>
  </si>
  <si>
    <t>2YTFKH52068438</t>
  </si>
  <si>
    <t>WINCH,DRUM,VEHICLE</t>
  </si>
  <si>
    <t>WINCH WILL BE USED BY HOUSTON POLICE OFFICERS IN THE HIGH WATER RESCUE UNIT TO MOUNT TO HOUSTON POLICE HIGH WATER RESCUE TRUCKS GIVING THEM THE ABILITY TO MOVED DOWNED TREES AND OTHER OBSTACLES WHILE PERFORMING RESCUES DURING ENVIRONMENTAL DISASTERS IN THE CITY</t>
  </si>
  <si>
    <t>2YTFKH51716383</t>
  </si>
  <si>
    <t>GENERATOR,ENGINE AC</t>
  </si>
  <si>
    <t>GENERATORS WILL BE USED BY HOUSTON POLICE OFFICERS IN THE HIGH WATER RESCUE UNIT TO REPLACE DAMAGED AND INOPERABLE GENERATORS ON HOUSTON POLICE HIGH WATER RESCUE TRUCKS TO MAINTAIN MISSION READINESS AND EFFECTIVENESS FOR DEPLOYMENT DURING ENVIRONMENTAL DISASTERS IN THE CITY.</t>
  </si>
  <si>
    <t>2YTFKH51645682</t>
  </si>
  <si>
    <t>GENERATORS WILL BE USED BY HOUSTON POLICE OFFICERS IN THE HIGH WATER RESCUE UNIT TO REPLACE DAMAGED AND INOPERABLE GENERATORS ON HOUSTON POLICE HIGH WATER RESCUE TRUCKS TO MAINTAIN MISSION READINESS AND EFFECTIVENESS DURING RESCUE DEPLOYMENTS IN  ENVIRONMENTAL DISASTERS.</t>
  </si>
  <si>
    <t>2YTFKH51928222</t>
  </si>
  <si>
    <t>DSSAWFILE</t>
  </si>
  <si>
    <t>SAWS AND FILING MACHINES</t>
  </si>
  <si>
    <t>SAWS WILL BE USED BY HOUSTON POLICE OFFICERS IN THE HIGH WATER RESCUE UNIT TO STORE ON HOUSTON POLICE HIGH WATER RESCUE TRUCKS TO DEAL WITH BLOCKED ROADS AND STREETS WHILE DEPLOYED TO RESCUES DURING ENVIRONMENTAL DISASTERS</t>
  </si>
  <si>
    <t>2YTFKH51857768</t>
  </si>
  <si>
    <t>HOUSTON POLICE DEPARTMENT WILL USE THIS EQUIPMENT FOR LAW ENFORCEMENT PURPOSES ONLY, IN ORDER TO MOVE EQUIPMENT AND TRAILERS WITH THE FORKLIFT.</t>
  </si>
  <si>
    <t>2YTFKH51927970</t>
  </si>
  <si>
    <t>VALVE,SAFETY RELIEF</t>
  </si>
  <si>
    <t>RELIEF VALVES WILL BE USED BY HOUSTON POLICE OFFICERS IN THE HIGH WATER RESCUE UNIT TO REPLACE DAMAGED AND INOPERABLE VALVES ON HOUSTON POLICE HIGH WATER RESCUE TRUCKS TO MAINTAIN MISSION READINESS FOR DEPLOYMENT DURING ENVIRONMENTAL DISASTERS IN THE CITY.</t>
  </si>
  <si>
    <t>2YTFKH52472121</t>
  </si>
  <si>
    <t>VALVE,CHECK</t>
  </si>
  <si>
    <t>CHECK VALVE WILL BE USED BY HOUSTON POLICE OFFICERS IN THE HIGH WATER RESCUE UNIT TO REPLACE INOPERABLE CHECK VALVES ON HOUSTON POLICE HIGH WATER RESCUE TRUCKS TO ENSURE PROPER AIR BRAKING FOR SAFETY OF OCCUPANTS WHILE PERFORMING RESCUES DURING ENVIRONMENTAL DISASTERS IN THE CITY.</t>
  </si>
  <si>
    <t>2YTFKH51998215</t>
  </si>
  <si>
    <t>DSCUTTER0</t>
  </si>
  <si>
    <t>CUTTER</t>
  </si>
  <si>
    <t>CUTTING PLIERS WILL BE USED BY HOUSTON POLICE OFFICERS IN THE HIGH WATER RESCUE UNIT AS WELL AS BOMB SQUAD AND OTHER UNITS TO REPAIR AND MAINTAIN HOUSTON POLICE HIGH WATER RESCUE TRUCKS AND OTHER POLICE VEHICLES TO MAINTAIN MISSION READINESS AND EFFECTIVENESS. TOOLS HAVE BEEN PHYSICALLY SEEN AND ARE RANDOM MIX OF DIFFERENT CUTTERS</t>
  </si>
  <si>
    <t>2YTFKH51998213</t>
  </si>
  <si>
    <t>WRENCHES WILL BE USED BY HOUSTON POLICE OFFICERS IN THE HIGH WATER RESCUE UNIT AS WELL AS BOMB SQUAD AND OTHER UNITS TO REPAIR AND MAINTAIN HOUSTON POLICE HIGH WATER RESCUE TRUCKS AND OTHER POLICE VEHICLES TO MAINTAIN MISSION READINESS AND EFFECTIVENESS. TOOLS HAVE BEEN PHYSICALLY SEEN AND ARE RANDOM MIX OF DIFFERENT SIZED WRENCHES</t>
  </si>
  <si>
    <t>2YTFKH51998212</t>
  </si>
  <si>
    <t>DSSOCKET0</t>
  </si>
  <si>
    <t>SOCKET</t>
  </si>
  <si>
    <t>SOCKETS WILL BE USED BY HOUSTON POLICE OFFICERS IN THE HIGH WATER RESCUE UNIT AS WELL AS BOMB SQUAD AND OTHER UNITS TO REPAIR AND MAINTAIN HOUSTON POLICE HIGH WATER RESCUE TRUCKS AND OTHER POLICE VEHICLES TO MAINTAIN MISSION READINESS AND EFFECTIVENESS. TOOLS HAVE BEEN PHYSICALLY SEEN AND ARE RANDOM MIX OF DIFFERENT SOCKETS</t>
  </si>
  <si>
    <t>2YTFKH51998207</t>
  </si>
  <si>
    <t>PLIERS WILL BE USED BY HOUSTON POLICE OFFICERS IN THE HIGH WATER RESCUE UNIT AS WELL AS BOMB SQUAD AND OTHER UNITS TO REPAIR AND MAINTAIN HOUSTON POLICE HIGH WATER RESCUE TRUCKS AND OTHER POLICE VEHICLES TO MAINTAIN MISSION READINESS AND EFFECTIVENESS.</t>
  </si>
  <si>
    <t>2YTFKH51998220</t>
  </si>
  <si>
    <t>2YTFKH51998218</t>
  </si>
  <si>
    <t>DSDRILL02</t>
  </si>
  <si>
    <t>DRILL, POWER</t>
  </si>
  <si>
    <t>DRILLS WILL BE USED BY HOUSTON POLICE OFFICERS IN THE HIGH WATER RESCUE UNIT AS WELL AS BOMB SQUAD AND OTHER UNITS TO REPAIR AND MAINTAIN HOUSTON POLICE HIGH WATER RESCUE TRUCKS AND OTHER POLICE VEHICLES TO MAINTAIN MISSION READINESS AND EFFECTIVENESS. TOOLS HAVE BEEN PHYSICALLY SEEN AND ARE RANDOM MIX OF DIFFERENT SIZED DRILLS</t>
  </si>
  <si>
    <t>2YTFKH51998216</t>
  </si>
  <si>
    <t>GRINDERS WILL BE USED BY HOUSTON POLICE OFFICERS IN THE HIGH WATER RESCUE UNIT AS WELL AS BOMB SQUAD AND OTHER UNITS TO REPAIR AND MAINTAIN HOUSTON POLICE HIGH WATER RESCUE TRUCKS AND OTHER POLICE VEHICLES TO MAINTAIN MISSION READINESS AND EFFECTIVENESS. TOOLS HAVE BEEN PHYSICALLY SEEN AND ARE RANDOM MIX OF DIFFERENT GRINDERS</t>
  </si>
  <si>
    <t>2YTFKH51928221</t>
  </si>
  <si>
    <t>PIONEER TOOL KITS WILL BE USED BY HOUSTON POLICE OFFICERS IN THE HIGH WATER RESCUE UNIT TO STORE ON HOUSTON POLICE HIGH WATER RESCUE TRUCKS TO DEAL WITH BLOCKED ROADS AND STREETS WHILE DEPLOYED TO RESCUES DURING ENVIRONMENTAL DISASTERS</t>
  </si>
  <si>
    <t>2YTFKH51716371</t>
  </si>
  <si>
    <t>O-RING</t>
  </si>
  <si>
    <t>HOUSTON POLICE DEPARTMENT WILL USE THESE O-RINGS FOR LAW ENFORCEMENT PURPOSES ONLY, IN ORDER TO CHANGE TIRES ON OUR HIGH WATER TRUCKS.</t>
  </si>
  <si>
    <t>2YTFKH51645686</t>
  </si>
  <si>
    <t>STRAP,TIEDOWN,ELECT</t>
  </si>
  <si>
    <t>ZIP TIES WILL BE USED BY HOUSTON POLICE OFFICERS IN THE HIGH WATER RESCUE UNIT TO SECURELY ANCHOR WIRING AS WELL AS SECURE RESCUE EQUIPMENT ON HOUSTON POLICE HIGH WATER RESCUE TRUCKS TO MAINTAIN MISSION READINESS AND EFFECTIVENESS DURING DEPLOYMENTS IN ENVIRONMENTAL DISASTERS IN THE CITY.</t>
  </si>
  <si>
    <t>2YTFKH51645689</t>
  </si>
  <si>
    <t>CHEM LIGHTS WILL BE USED BY HOUSTON POLICE OFFICERS IN THE HOUSTON POLICE HIGH WATER RESCUE UNIT TO PROVIDE EMERGENCY LIGHTING WHILE PERFORMING RESCUES DURING DEPLOYMENT IN ENVIRONMENTAL DISASTERS IN THE CITY.</t>
  </si>
  <si>
    <t>2YTFKH52472126</t>
  </si>
  <si>
    <t>ALARM-MONITOR</t>
  </si>
  <si>
    <t>ALARM MODULE WILL BE USED BY HOUSTON POLICE OFFICERS IN THE HIGH WATER RESCUE UNIT TO REPLACE INOPERABLE ALARM MODULES ON HOUSTON POLICE HIGH WATER RESCUE TRUCKS SO THAT PROPER WARNINGS FROM THE TRUCKS CAN PREVENT SAFETY ISSUES WHILE DEPLOYED FOR RESCUES DURING ENVIRONMENTAL DISASTERS IN THE CITY.</t>
  </si>
  <si>
    <t>2YTFKH51998214</t>
  </si>
  <si>
    <t>DSMETER00</t>
  </si>
  <si>
    <t>METER</t>
  </si>
  <si>
    <t>MULTIMETERS WILL BE USED BY HOUSTON POLICE OFFICERS IN THE HIGH WATER RESCUE UNIT AS WELL AS BOMB SQUAD AND OTHER UNITS TO REPAIR AND MAINTAIN HOUSTON POLICE HIGH WATER RESCUE TRUCKS AND OTHER POLICE VEHICLES TO MAINTAIN MISSION READINESS AND EFFECTIVENESS. TOOLS HAVE BEEN PHYSICALLY SEEN AND ARE RANDOM MIX OF DIFFERENT MULTIMETERS</t>
  </si>
  <si>
    <t>2YTFKH51786992</t>
  </si>
  <si>
    <t>SPEAKERS WILL BE USED BY HOUSTON POLICE OFFICERS IN THE COMPUTER TECHNOLOGIES DEPARTMENT TO PROVIDE AUDIO SOURCES FOR POLICE DEPARTMENT COMPUTERS TO AID IN INVESTIGATIONS WITH AUDIO TO EXAMINE</t>
  </si>
  <si>
    <t>ITASCA POLICE DEPT (2YTFTY)</t>
  </si>
  <si>
    <t>2YTFTY52411214</t>
  </si>
  <si>
    <t>AUGER,EARTH,SKID MOUNTED</t>
  </si>
  <si>
    <t>THE ITASCA POLICE DEPARTMENT IS IN NEED OF SKID STEER AUGER ATTACHMENT THIS ATTACHMENT WILL BE USED TO ASSIST IN BUILDING GUN RANGE BACK STOP. THE DEPARTMENT HAS BEEN GIVEN TELEPHONE POLES TO SET UP AS BACK STOP WITH THAT BEING SAID THIS AUGER WILL ASSIST DIGGING THE HOLES TO SET POLES.</t>
  </si>
  <si>
    <t>2YTFTY51998497</t>
  </si>
  <si>
    <t>THE ITASCA POLICE DEPARTMENT IS IN THE PROCESS OF GETTING THE EQUIPMENT TO AID IN CONSTRUCTUION OF A TRAINING AREA THAT WILL CONSIST OF A GUN RANGE AND AREA TO CONSTRUCT A SHOOT HOUSE FROM STORAGE CONTAINERS. THIS EQUIPMENT WILL BE UTILIZED TO CLEAR THE GROUNDS AND MOVE DIRT TO CONSTRUCT GUN RANGE AND LEVEL THE GROUND AND BUILD PAD SITE TO ERECT SHOOT HOUSE ARE AND TRAINING AREA.</t>
  </si>
  <si>
    <t>2YTFTY51998496</t>
  </si>
  <si>
    <t>THE ITASCA POLICE DEPARTMENT IS IN NEED OF THIS GENERATOR OF THIS SIZE THE PREVIOUS ONE THAT WE WAS GRANTED WAS NOT PICKED UP IN TIME BY TRANSPORT AND WAS GIVEN TO ANOTHER AGENCY. THIS GENERATOR IS LARGE ENOUGH TO RUN THE PD IN SITUATIONS WHEN THERE IS TOTAL LOSS OF ELECTRICITY AND WILL ALSO RUN PUMPS TO CONTINUE WATER SUPPLY TO THE PD. THIS WILL BE A EMERGENCY BACK UP GENORATOR.</t>
  </si>
  <si>
    <t>2YTFTY51998499</t>
  </si>
  <si>
    <t>SHIPPING AND STORAGE CONTAINER,VEHICULAR</t>
  </si>
  <si>
    <t>THE ITASCA POLICE DEPARTMENT IS IN NEED OF STORAGE CONTAINERS TO HOUSE EXTRA SUPPLIES AND STORAGE FOR EXCESS PAPER WORK AND FILES</t>
  </si>
  <si>
    <t>2YTFTY51998498</t>
  </si>
  <si>
    <t>MADISONVILLE POLICE DEPARTMENT (2YTG56)</t>
  </si>
  <si>
    <t>2YTG5651787030</t>
  </si>
  <si>
    <t>THE MADISONVILLE POLICE DEPARTMENT WILL USE THIS TRUCK FOR TRANSPORTING POLICE EQUIPMENT TO AND FROM THE GUN RANGE AND SPECIAL EVENTS</t>
  </si>
  <si>
    <t>2YTG5651787031</t>
  </si>
  <si>
    <t>THE MADISONVILLE POLICE DEPARTMENT WILL USE THIS VEHICLE FOR SPECIAL EVENTS FOR OFFICERS TO USE FOR POLICE EVENTS.</t>
  </si>
  <si>
    <t>PANTEGO POLICE DEPT (2YTJC6)</t>
  </si>
  <si>
    <t>2YTJC651998356</t>
  </si>
  <si>
    <t>THIS WILL BE USED FOR THE PANTEGO POLICE DEPARTMENT ONLY. TO ASSIST WITH RAPID RESPONSE TO EMERGENCY SITUATIONS INVOLVING SCHOOL SHOOTINGS, CROWD CONTROL, EQUIPMENT TRANSPORT AND OFFICER TRANSPORT.</t>
  </si>
  <si>
    <t>PARIS POLICE DEPT (2YTJDK)</t>
  </si>
  <si>
    <t>2YTJDK52209599</t>
  </si>
  <si>
    <t>THIS ITEM IS BEING REQUESTED BY THE PARIS POLICE DEPARTMENT TO BE USE BY OFFICERS FOR LAW ENFORCEMENT PURPOSES. THE REQUESTED VEHICLE WILL BE UTILIZED AS A MOBILE COMMAND CENTER FOR INCIDENT COMMAND IN TIMES OF CRITICAL INCIDENTS, NATURAL DISASTERS, AND OTHER EVENTS AS NECESSARY.</t>
  </si>
  <si>
    <t>PARKS AND WILDLIFE DEPT (2YTL26)</t>
  </si>
  <si>
    <t>2YTL2652411166</t>
  </si>
  <si>
    <t>TOOL KIT,ARMY AIRCRAFT</t>
  </si>
  <si>
    <t>TPWD LE DIVISION REQUEST THE TOOL KITS TO ISSUE TO WARDEN TO MAKE MINOR REPAIRS TO PATROL VEHICLE AND VESSELS AS NEEDED. AS WELL AS ANY OTHER APPLICABLE LE USE.</t>
  </si>
  <si>
    <t>2YTL2652341165</t>
  </si>
  <si>
    <t>LIGHT,BLACKOUT</t>
  </si>
  <si>
    <t>TPWD LE DIVISION REQUEST THE LIGHT TO MOUNT TO PATROL VEHICLES FOR NIGHTTIME PATROLS.</t>
  </si>
  <si>
    <t>2YTL2652341164</t>
  </si>
  <si>
    <t>PRIMERA POLICE DEPARTMENT (2YTJXJ)</t>
  </si>
  <si>
    <t>2YTJXJ51857109</t>
  </si>
  <si>
    <t>CAMOUFLAGE NET SYSTEM,RADAR SCATTERING</t>
  </si>
  <si>
    <t>WILL BE USED BY LAW ENFORCMENT FOR LAW ENFORCEMENT PURPOSE.  WILL BE USED BY POLICE DEPARTMENT DURING TRAINING EVENTS TO PROVIDE PROTECTION FROM SUN</t>
  </si>
  <si>
    <t>2YTJXJ51997862</t>
  </si>
  <si>
    <t>WILL BE USED BY LAW ENFORCMENT FOR LAW ENFORCEMENT PURPOSE.  WILL BE PLACED ON LAW ENFOCEMENT WEAPONS TO ASSIST OFFICER.</t>
  </si>
  <si>
    <t>2YTJXJ51787112</t>
  </si>
  <si>
    <t>RECEIVER-TRANSMITTE</t>
  </si>
  <si>
    <t>WILL BE USED BY LAW ENFORCMENT FOR LAW ENFORCMENT PURPOSE. WILL BE ISSUED TO OFFICERS AFTER REPROGRAMMING. TO TRASMITT COMMUNICATIONS</t>
  </si>
  <si>
    <t>2YTJXJ51787119</t>
  </si>
  <si>
    <t>RADIO SET</t>
  </si>
  <si>
    <t>WILL BE USED BY LAW ENFORCEMENT FOR LAW ENFORCMENT PURPOSE.  WILL BE ISSUED TO OFFICERS AFTER REPROGRAMMING</t>
  </si>
  <si>
    <t>2YTJXJ51787121</t>
  </si>
  <si>
    <t>2YTJXJ52340403</t>
  </si>
  <si>
    <t>DSSURGEP1</t>
  </si>
  <si>
    <t>SURGE PROTECTOR</t>
  </si>
  <si>
    <t>WILL BE USED BY LAW ENFORCMENT FOR LAW ENFORCMENT.  WILL BE ADDED TO DEPARTMENT NETWQORK TO POWER ADDITIONAL COMPUTERS.</t>
  </si>
  <si>
    <t>2YTJXJ52209246</t>
  </si>
  <si>
    <t>WILL BE USED BY LAW ENFORCMENT FOR LAW ENFORCEMENT PURPOSE. WILL BE USED FOR LIGHTING DURING POLICE EVENTS LIKE NATIONAL NIGHT OUT.</t>
  </si>
  <si>
    <t>2YTJXJ52209644</t>
  </si>
  <si>
    <t>WILL BE USED BY LAW ENFORCMENT FOR LAW ENFORCEMENT.  THE POLICE DEPARTMENT WILL USE THE LIGHT SYSTEMS FOR TRAFFIC CONTROL OR POLICE EVENTS.</t>
  </si>
  <si>
    <t>2YTJXJ51927521</t>
  </si>
  <si>
    <t>DSBINOCUL</t>
  </si>
  <si>
    <t>BINOCULARS</t>
  </si>
  <si>
    <t>WILL BE USED BY LAW ENFORCMENT FOR LAW ENFORCEMENT PURPOSE. WILL BE PLACED IN PATROL UNITS TO ASSIST OFFICER ON PATROL</t>
  </si>
  <si>
    <t>2YTJXJ51787115</t>
  </si>
  <si>
    <t>COMPUTER,DIGITAL</t>
  </si>
  <si>
    <t>WILL BE USED BY LAW ENFORCMENT FOR LAW ENFORCEMENT PURPOSE.  WILL BE PLACED IN COMMUNICATIONS CENTER AND BOOKING FOR OFFICER TO USE DURING BOOKING AND FOR COMMUNICATIONS.</t>
  </si>
  <si>
    <t>2YTJXJ52209252</t>
  </si>
  <si>
    <t>DSSERVER2</t>
  </si>
  <si>
    <t>NETWORK SERVER</t>
  </si>
  <si>
    <t>WILL BE USED BY LAW ENFORCEMENT FOR LAW ENFORCEMENT.  WILL BE PLACED IN THE POLICE DEPARTMENT NETWORK TO BE OUR DOMAIN CONTROLLER</t>
  </si>
  <si>
    <t>2YTJXJ52209248</t>
  </si>
  <si>
    <t>WILL BE USED BY LAW ENFORCMENT FOR LAW ENFORCEMENT PURPOSE. WILL BE USED FOR OFFICERS IT TAKE REPORTS IN THE FIELD.</t>
  </si>
  <si>
    <t>2YTJXJ52340402</t>
  </si>
  <si>
    <t>DSSWITCH6</t>
  </si>
  <si>
    <t>SWITCH, NETWORK</t>
  </si>
  <si>
    <t>WILL BE USED BY LAW ENFORCEMENT FOR LAW ENFORCMENT.  WILL BE PLACED IN THE POLICE DEPARTMENT NETWORK TO ALLOW ADDED COMPUTERS.</t>
  </si>
  <si>
    <t>SAN MARCOS POLICE DEPT (2YTKPP)</t>
  </si>
  <si>
    <t>2YTKPP52270407</t>
  </si>
  <si>
    <t>TO BE STORED AT THE SAN MARCOS POLICE DEPARTMENT AND ISSUED TO OFFICERS FOR SABA AND FOR USE DURING CRITICAL INCIDENTS.</t>
  </si>
  <si>
    <t>2YTKPP52270404</t>
  </si>
  <si>
    <t>TO BE STORED AT THE SAN MARCOS POLICE DEPARTMENT AND UTILIZED BY CRIME SCENE TECHNICIANS AND DETECTIVES FOR EXAMINATION OF EVIDENCE</t>
  </si>
  <si>
    <t>2YTKPP52068518</t>
  </si>
  <si>
    <t>THE SAN MARCOS PD IS REQUESTING TWO OF THESE KITS TO BE USED BY THE SWAT TEAM FOR HIGH ANGLE RESCUES AND OTHER EXIGENT RESPONSES IN THE COMMUNITY.</t>
  </si>
  <si>
    <t>STARR CSO (2YTLFY)</t>
  </si>
  <si>
    <t>2YTLFY51434096</t>
  </si>
  <si>
    <t>FORKLIFT WILL BE USED BY STARR COUNTY SHERIFF'S OFFICE DEPUTIES FOR IN HOUSE OFFICE USE BY STAFF. I HAVE SPOKEN TO DLA CAVAZOS ALREADY AND THEY SAID THAT FORKLIFT IS IN WORKING CONDITIONS.</t>
  </si>
  <si>
    <t>SUTTON CSO (2YTLM6)</t>
  </si>
  <si>
    <t>2YTLM651857405</t>
  </si>
  <si>
    <t>WILL BE USED TO ASSIST LAW ENFORCEMENT IN SEARCH AND RESCUE OPERATIONS.</t>
  </si>
  <si>
    <t>2YTLM651857403</t>
  </si>
  <si>
    <t>DSTHERMPR</t>
  </si>
  <si>
    <t>PRINTER, THERMAL</t>
  </si>
  <si>
    <t>FOR LAW ENFORCEMENT TO LABEL EVIDENCE FOR STORAGE AND TESTING.</t>
  </si>
  <si>
    <t>2YTLM651857404</t>
  </si>
  <si>
    <t>FOR DEPUTY COMPUTERS TO BE NETWORKED FOR LAW ENFORCEMENT PURPOSES ONLY.</t>
  </si>
  <si>
    <t>2YTLM651716799</t>
  </si>
  <si>
    <t>DSSTEPPER</t>
  </si>
  <si>
    <t>STEPPER</t>
  </si>
  <si>
    <t>GYM EQUIPMENT WILL BE USED FOR DEPUTY PHYSICAL FITNESS.</t>
  </si>
  <si>
    <t>TRINITY CSO (2YTLY0)</t>
  </si>
  <si>
    <t>2YTLY052482154</t>
  </si>
  <si>
    <t>TCSO DEPUTIES WILL BE ABLE TO ADD THE KITS TO THEIR PATROL VEHICLES TO BE UTILIZED IN THE EVENT OF MASS CASUALTY OR ACTIVE ATTACK INCIDENT AND READILY DEPLOY TO RENDER AID.</t>
  </si>
  <si>
    <t>TROUP POLICE DEPT (2YTLY3)</t>
  </si>
  <si>
    <t>2YTLY352552424</t>
  </si>
  <si>
    <t>TROUP POLICE DEPARTMENT WOULD LIKE TO ACQUIRE THESE ITEMS FOR THE USE OF TACTICAL TRAINING FOR OUR OFFICERS.</t>
  </si>
  <si>
    <t>2YTLY352622428</t>
  </si>
  <si>
    <t>TROUP PD WOULD LIKE TO ACQUIRE THIS ITEM FOR THE USE AT THE TROUP PD TRAINING FACILITY.</t>
  </si>
  <si>
    <t>2YTLY351787038</t>
  </si>
  <si>
    <t>THE TROUP POLICE DEPARTMENT WOULD LIKE TO ACQUIRE THIS ITEM FOR THE USE OF TRANSPORTING POLICE EQUIPMENT AND OTHER VARIOUS SEIZED ITEMS.</t>
  </si>
  <si>
    <t>2YTLY352340373</t>
  </si>
  <si>
    <t>TROUP PD WOULD LIKE TO ACQUIRE THIS ITEM FOR THE USE OF SEARCHING FOR MISSING PERSONS AND SUSPECTS IN WOODED AND RURAL AREAS, THAT PATROL VEHICLES WOULD BE UNABLE TO ACCESS</t>
  </si>
  <si>
    <t>WEST POLICE DEPT (2YTPJJ)</t>
  </si>
  <si>
    <t>2YTPJJ51645559</t>
  </si>
  <si>
    <t>THE WEST POLICE DEPARTMENT WILL UTILIZE THIS EQUIPMENT FOR LAW ENFORCEMENT PURPOSES ONLY. THIS BUCKET TRUCK WILL ASSIST WEST POLICE OFFICERS AS WELL AS ENHANCE OFFICER SAFETY WHEN RELOCATING AND OR PERFORMING BASIC MAINTENANCE ON DEPARTMENT POLE MOUNTED OR ELEVATED SURVEILLANCE CAMERAS AND LPR SYSTEMS AROUND THE CITY.</t>
  </si>
  <si>
    <t>2YTPJJ51786567</t>
  </si>
  <si>
    <t>THE WEST POLICE DEPARTMENT WILL UTILIZE THIS EQUIPMENT FOR LAW ENFORCEMENT PURPOSES ONLY. THIS EQUIPMENT WILL ENHANCE POLICE OFFICERS ABILITIES WHILE CONDUCTING PUBLIC SAFETY ACTIVITIES OR DISASTER RESPONSE, AS AN EMERGENCY POWER SOURCE DURING POWER OUTAGES AND OR EMERGENCY SITUATIONS REQUIRING AN EXTERNAL POWER SOURCE.</t>
  </si>
  <si>
    <t>UT</t>
  </si>
  <si>
    <t>COTTONWOOD HEIGHTS POLICE DEPT (2YTCU6)</t>
  </si>
  <si>
    <t>2YTCU652411704</t>
  </si>
  <si>
    <t>THESE DEVICES WILL BE UTILIZED BY OUR SWAT TEAM IN CONJUNCTION WITH OUR NIGHT VISION PROGRAM. WE ARE FAMILIAR WITH THE USE AND REPAIR OF THESE UNITS AND I HAVE CONFIRMED WITH THE ON-SITE MANAGER THAT THEY ARE OPERATIONAL AND I ACKNOWLEDGE THE CONDITION OF THE UNITS. THESE ITEMS WILL BE INVENTORIED ANNUALLY.</t>
  </si>
  <si>
    <t>2YTCU652552081</t>
  </si>
  <si>
    <t>THESE DEVICES WOULD BE UTILIZED BY OUR SWAT TEAM IN CONJUNCTION WITH OUR NIGHT VISION PROGRAM. THESE ITEMS WOULD BE CONTROLLED AND INVENTORIED ANNUALLY. WE ARE FAMILIAR WITH THESE UNITS USE AND REPAIR. I ACKNOWLEDGE THE CONDITION OF THESE UNITS AND I HAVE CONTACTED THE ON-SITE MANAGER WHERE THESE ARE LOCATED AND CONFIRMED THE FUNCTIONALITY OF THESE DEVICES.</t>
  </si>
  <si>
    <t>VA</t>
  </si>
  <si>
    <t>CARROLL COUNTY SHERIFF DEPT (2YTB1G)</t>
  </si>
  <si>
    <t>2YTB1G52482111</t>
  </si>
  <si>
    <t>OUR SHERIFF'S DEPARTMENT HAS CURRENTLY ORDERED TWO SNIPER RIFLES FOR OUR SWAT TEAM. WE HAVE TWO OFFICERS CERTIFIED AS SNIPERS BUT HAVE NEVER BEEN ABLE TO PURCHASE RIFLES FOR THEM. WE ARE IN NEED OF OPTICS FOR THESE RIFLES. WE RECENTLY HAD AN OFFICER INVOLVED SHOOTING WHERE TWO OF OUR OFFICERS WERE SHOT AND THE NEED FOR THIS ADDITION TO OUR ARSENAL BECAME OBVIOUS. THESE ITEMS WOULD BE USED SOLELY BY MEMBERS OF THE CARROLL COUNTY SHERIFF'S OFFICE FOR TRAINING PURPOSES OR ON-DUTY OPERATIONS.</t>
  </si>
  <si>
    <t>2YTB1G52279929</t>
  </si>
  <si>
    <t>ITEMS WILL BE USED ONLY BY SWORN PERSONNEL OF THE CARROLL COUNTY SHERIFF'S OFFICE AND WILL BE USED FOR SWAT OPERATIONS, K9 TRACKING OPERATIONS AS WELL AS SEARCH AND RESCUE OPERATIONS IN COOPERATION WITH LOCAL EMERGENCY SERVICES. THE USE OF THERMAL OPTICS INCREASES SAFETY OF OFFICERS IN SWAT AND K9 OPERATIONS AND INCREASES ABILITY TO LOCATE MISSING OR ENDANGERED INDIVIDUALS DURING SEARCH AND RESCUE OPERATIONS. LEA HAS CONFIRMED SITE AND HAS BEEN CONTACTED AND ACCEPT CONDITION OF PROPERTY.</t>
  </si>
  <si>
    <t>CHASE CITY PD (2YTPML)</t>
  </si>
  <si>
    <t>2YTPML5197KM20</t>
  </si>
  <si>
    <t>2YTPML51645848</t>
  </si>
  <si>
    <t>WE ARE A SMALL LOCAL LAW ENFORCEMENT AGENCY AND WOULD UTILIZE THIS EQUIPMENT TO AID IN ARRESTING WANTED SUBJECTS, MISSING ENDANGERED PERSONS AS WELL AS RESCUE OPERATIONS. THESE ITEMS WOULD ONLY BE UTILIZED BY SWORN LAW ENFORCEMENT OFFICERS</t>
  </si>
  <si>
    <t>DICKENSON COUNTY SHERIFFS OFFICE (2YTDCB)</t>
  </si>
  <si>
    <t>2YTDCB52279789</t>
  </si>
  <si>
    <t>DICKENSON COUNTY SHERIFF'S OFFICE IS A FULL-SERVICE LAW ENFORCEMENT AGENCY.  THIS EQUIPMENT WILL BE USED FOR DISASTER RESPONSE AND RECOVERY.</t>
  </si>
  <si>
    <t>FRANKLIN POLICE DEPT (2YTEBB)</t>
  </si>
  <si>
    <t>2YTEBB52340472</t>
  </si>
  <si>
    <t>THE CITY OF FRANKLIN POLICE DEPARTMENT IS A CERTIFIED LAW ENFORCEMENT AGENCY EMPLOYING 29 SWORN MEMBERS AND COVERING 9 SQUARE MILES WITH A POPULATION OF 8,300 CITIZENS. THE ROBOT WILL BE USED BY OUR SWAT TEAM TO PERFORM HIGH RISK SEARCH WARRANTS AND ACTIVE SHOOTERS. THE ROBOT ALLOWS MEMBERS TO REMOTELY SEARCH AREAS WITHOUT ENDANGERING PERSONNEL. THE ROBOT CAN ALSO BE DEPLOYED IN SMALL OR HARD-TO-REACH AREAS AND BE CLEARED USING THE CAMERAS.</t>
  </si>
  <si>
    <t>FREDERICK COUNTY SHERIFF'S OFFICE (2YTEBY)</t>
  </si>
  <si>
    <t>2YTEBY51998260</t>
  </si>
  <si>
    <t>CUSHION,SEAT,VEHICULAR</t>
  </si>
  <si>
    <t>FREDERICK COUNTY SHERIFF'S OFFICE A LESO AGENCY WITH 1033 CONTROLLED VEHICLE THAT CAN USE THIS ITEM TO REPLACE A WORN OUT SEAT.</t>
  </si>
  <si>
    <t>2YTEBY51998247</t>
  </si>
  <si>
    <t>FREDERICK COUNTY SHERIFF'S OFFICE A LESO THAT CAN USE THESE UNITS INSTALLED IN THE 1033 PROGRAM RECEIVED CONTROL BUILDINGS AT THE AGENCY FIRING RANGE TO HELP MITIGATE HEAT ISSUES DURING FIREARMS TRAINING AND WEAPON SERVICING AND REPAIRS.</t>
  </si>
  <si>
    <t>2YTEBY51716940</t>
  </si>
  <si>
    <t>FREDERICK COUNTY SHERIFF'S OFFICE A LESO AGENCY WITH A DIVE TEAM WITH OFFICERS THAT CONDUCT SWIFTWATER RESCUE DURING SEVERE WEATHER EVENTS. OFFICERS CAN USE THESE VEST TO PLACE ON VICTIMS BEFORE MOVING THEM THROUGH WATER PROVIDING A LEVEL OF SAFETY TO THE VICTIM AND OFFICERS DURING THE RESCUE.</t>
  </si>
  <si>
    <t>2YTEBY51716932</t>
  </si>
  <si>
    <t>SPILL CLEAN-UP KIT,</t>
  </si>
  <si>
    <t>FREDERICK COUNTY SHERIFF'S OFFICE A LESO AGENCY THAT CAN USE THIS ITEM TO CONTROL SPILLS AND LEAKS IN THE VEHICLE IMPOUND LOT THAT IS BEING HELD AS EVIDENCE OR SEIZED FROM NARCOTICS RELATED CRIMES</t>
  </si>
  <si>
    <t>2YTEBY51998258</t>
  </si>
  <si>
    <t>FREDERICK COUNTY SHERIFF'S OFFICE A LESO AGENCY WITH A SEARCH AND RESCUE TEAM THAT CAN ISSUE THESE ITEMS TO NEW OFFICERS ASSIGNED TO THE TEAM TO USE ON CALLS FOR SERVICE FOR MISSING, DESPONDENT, INJURED HIKERS, AND DOWNED AIRCRAFT IN OPEN COUNTRY AND MOUNTAINOUS TERRSIN</t>
  </si>
  <si>
    <t>2YTEBY51928257</t>
  </si>
  <si>
    <t>PACKING</t>
  </si>
  <si>
    <t>FREDERICK COUNTY SHERIFFS OFFICE A LESO AGENCY THAT CAN USE THESE ITEMS AT THE FIREARMS RANGE TO ASSIST WITH PICKING UP BRASS AFTER FIREARMS QUALIFICATIONS ARE COMPLETED EACH DAY.</t>
  </si>
  <si>
    <t>2YTEBY51786926</t>
  </si>
  <si>
    <t>REPAIR KIT,SHELTER</t>
  </si>
  <si>
    <t>FREDERICK COUNTY SHERIFF'S OFFICE A LESO AGENCY THAT HAS A DRASH TENT SHELTER SYSTEM FROM THE 1033 PROGRAM THT CAN USE THIS ITEM TO MAKE A REPAIR TO THE SHELTER USED FOR REHAB AT CALLS FOR SERVICE FOR SEARCH AND RESCUE, DIVE TEAM OPERATIONS, CIVIL DISTURBANCES, AND CRIME SCENES.</t>
  </si>
  <si>
    <t>2YTEBY51998265</t>
  </si>
  <si>
    <t>CASE,ELECTRONIC COM</t>
  </si>
  <si>
    <t>FREDERICK COUNTY SHERIFF'S OFFICE A LESO AGENCY THAT CAN USE THIS ITEM TO STORE EQUIPMENT IN TO PROTECT FROM ELEMENTS USED FOR LAW ENFORCEMENT PURPOSES WHEN NOT IN USE.</t>
  </si>
  <si>
    <t>2YTEBY51928261</t>
  </si>
  <si>
    <t>FREDERICK COUNTY SHERIFF'S OFFICE A LESO AGENCY THAT CAN USE THESE ITEMS DURING NIGHT TIME SEARCH AND RESCUE MISSIONS AND WATER RESCUES BY EITHER MARKING A EGRESS TRAIL FOR STOKES BASKET OPERATIONS AND MARKING LAST KNOWN LOCATIONS ON WATER TO FOLLOW DRIFTLINE SEARCH PATTERNS.</t>
  </si>
  <si>
    <t>2YTEBY51716937</t>
  </si>
  <si>
    <t>DSTRAINAI</t>
  </si>
  <si>
    <t>TRAINING AIDS</t>
  </si>
  <si>
    <t>FREDERICK COUNTY SHERIFF'S OFFICE A LESO AGENCY CAN USE THIS VR FIRE EXTINGUISHER TRAINING AID TO TEACH OFFICERS PROPER  USE OF FIRE EXTINGUISHERS THAT ARE ISSUED IN THEIRS CRUISERS FOR CALLS FOR SERVICE.</t>
  </si>
  <si>
    <t>2YTEBY51928248</t>
  </si>
  <si>
    <t>FREDERICK COUNTY SHERIFF'S OFFICE A LESO AGENCY THAT CAN USE THESE CHAIRS TO REPLACE OFFICE CHAIRS IN OFFICERS WORKSPACE AREAS</t>
  </si>
  <si>
    <t>2YTEBY51998251</t>
  </si>
  <si>
    <t>TABLE ASSEMBLY</t>
  </si>
  <si>
    <t>FREDERICK COUNTY SHERIFF'S OFFICE A LESO AGENCY THAT CAN USE THE PORTABLE TABLES FOR CRIME AND DRUG PREVENTION DISPLAYS AT COMMUNITY EVENTS, ALSO TABLES NEEDED FOR SEARCH AND  RESCUE EVENTS</t>
  </si>
  <si>
    <t>2YTEBY51998259</t>
  </si>
  <si>
    <t>FREDERICK COUNTY SHERIFF'S OFFICE A LESO AGENCY THAT CAN USE THESE STORAGE CASES TO PROTECT EQUIPMENT USED FOR LAW ENFORCEMENT PURPOSES WHEN NOT CURRENTLY BEING USED.</t>
  </si>
  <si>
    <t>2YTEBY51786930</t>
  </si>
  <si>
    <t>DSTARP000</t>
  </si>
  <si>
    <t>TARP</t>
  </si>
  <si>
    <t>FREDERICK COUNTY SHERIFF'S OFFICE A LESO AGENCY THAT CAN USE THESE ITEMS TO COVER UP EVIDENCE FROM CRIME SCENE TO PROTECT FROM WEATHER ELEMENTS BEFORE PROCESSED  AND COLLECTED AT THE CRIMESCENE.</t>
  </si>
  <si>
    <t>2YTEBY51716933</t>
  </si>
  <si>
    <t>FREDERICK COUNTY SHERIFF'S OFFICE A LESO AGENCY THAT CAN USE THIS ITEM FOR ISSUANCE TO SEARCH AND RESCUE TEAM OFFICERS TO PROTECT THEM FROM WEATHER EXPOSURE DURING CALLS FOR SERVICE FOR MISSING, DESPONDENT, INJURED PERSONS, OR DOWNED AIRCRAFT IN OPEN COUNTRY AND MOUNTAINOUS TERRAIN.</t>
  </si>
  <si>
    <t>2YTEBY51786928</t>
  </si>
  <si>
    <t>LINER,PARKA,WORKING</t>
  </si>
  <si>
    <t>2YTEBY51928249</t>
  </si>
  <si>
    <t>FREDERICK COUNTY SHERIFF'S OFFICE A LESO AGENCY THAT CAN USE THESE ITEMS TO ISSUE TO NEW OFFICERS ON THE SEARCH AND RESCUE TEAM TO PROTECT THEM FROM EXPOSURE TO COLD WEATHER DURING CALLS FOR SERVICE FOR MISSING, DESPONDENT, INJURED PERSONS, AND DOWNED AIRCRAFT IN OPEN COUNTRY AND MOUNTAINOUS TERRAIN</t>
  </si>
  <si>
    <t>2YTEBY51716934</t>
  </si>
  <si>
    <t>2YTEBY51786931</t>
  </si>
  <si>
    <t>CARRIER,RADIO SET</t>
  </si>
  <si>
    <t>FREDERICK COUNTY SHERIFF'S OFFICE A LESO AGENCY THAT CAN USE THIS STORAGE BAG TO PLACE UNDERWATER RADIO EQUIPMENT IN TO BE STORE ON THE DIVE TEAM HEAVY RESCUE TRUCK T.</t>
  </si>
  <si>
    <t>2YTEBY51786936</t>
  </si>
  <si>
    <t>FREDERICK COUNTY SHERIFF'S OFFICE A LESO AGENCY THAT CAN USE THIS ITEM FOR ISSUANCE TO SEARCH AND RESCUE TEAM OFFICERS TO PROTECT THEM FROM DEHYDRATION DURING CALLS FOR SERVICE FOR MISSING, DESPONDENT, INJURED PERSONS, OR DOWNED AIRCRAFT IN OPEN COUNTRY AND MOUNTAINOUS TERRAIN.</t>
  </si>
  <si>
    <t>RUSSELL COUNTY SHERIFF OFFICE (2YTKH1)</t>
  </si>
  <si>
    <t>2YTKH152411456</t>
  </si>
  <si>
    <t>ROPE,600 FEET</t>
  </si>
  <si>
    <t>TO BE USED BY DEPUTIES WITH THE RUSSELL COUNTY SHERIFF'S OFFICE TO ASSIST WITH WATER RESCUES AND WITH BOATS TO ASSIST IN REMOVING PEOPLE FROM FLOODED AREAS.</t>
  </si>
  <si>
    <t>2YTKH152340497</t>
  </si>
  <si>
    <t>TO BE USED BY DEPUTIES WITH THE RUSSELL COUNTY SHERIFF'S OFFICE FOR FLOODING SITUATIONS, NATURAL DISASTERS, WATER RESCUE, THE JURISDICTION OF THE SHERIFF'S OFFICE HAS MULTIPLE LAKES AND THE CLINCH RIVER A POPULAR KAYAK AND RECREATION RIVER THAT IS SHALLOW. THESE BOATS WILL ALSO BE USED BY THE SHERIFF'S OFFICE FOR EVIDENCE RECOVERY FOR WATER.</t>
  </si>
  <si>
    <t>2YTKH151927523</t>
  </si>
  <si>
    <t>TO BE USED BY MEMBERS OF RUSSELL COUNTY SHERIFF'S OFFICE TO AID IN INVESTIGATIONS INTO CRIMINAL ACTIVITY AND TO AID DEPUTIES TO MOVE LARGER ITEMS NEEDED FOR THEIR DUTIES.</t>
  </si>
  <si>
    <t>2YTKH152411437</t>
  </si>
  <si>
    <t>TRUCK,LIFT,HAND</t>
  </si>
  <si>
    <t>TO BE USED BY DEPUTIES WITH RUSSELL COUNTY SHERIFF'S OFFICE TO HELP MOVE LARGE ITEMS THAT WILL ASSIST WITH DISASTERS AND EMERGENCIES.</t>
  </si>
  <si>
    <t>2YTKH152411480</t>
  </si>
  <si>
    <t>TO BE USED BY DEPUTIES WITH THE RUSSELL COUNTY SHERIFF'S OFFICE TO HELP MOVE LARGE ITEMS INCLUDING GENERATORS AND OTHER ITEMS NEEDED TO HELP THE RUSSELL COUNTY SHERIFF'S OFFICE DEAL WITH NATURAL DISASTERS.</t>
  </si>
  <si>
    <t>2YTKH152411481</t>
  </si>
  <si>
    <t>STATE POLICE (2YTMXW)</t>
  </si>
  <si>
    <t>2YTMXW52139405</t>
  </si>
  <si>
    <t>THE VIRGINIA STATE POLICE REQUESTS THESE CARGO TIE-DOWNS TO BE UTILIZED BY SWORN PERSONNEL WHEN TRANSPORTING HEAVY, BULKY LAW ENFORCEMENT EQUIPMENT AND SUPPLIES.</t>
  </si>
  <si>
    <t>2YTMXW52068504</t>
  </si>
  <si>
    <t>THE VIRGINIA STATE POLICE REQUESTS THIS PROPERTY TO BE UTILIZED BY SWORN PERSONNEL WHEN SECURING HEAVY ITEMS FOR TRANSPORTATION DURING LAW ENFORCEMENT ACTIVITIES OR EMERGENCIES.</t>
  </si>
  <si>
    <t>2YTMXW52279899</t>
  </si>
  <si>
    <t>THE VIRGINIA STATE POLICE WOULD UTILIZE THESE SHACKLES BY SWORN LAW ENFORCEMENT PERSONNEL TO SECURE CHAINS AND STRAPPING MATERIAL TO TRAILERS AND CARGO TRUCKS WHILE TRANSPORTING HEAVY LAW ENFORCEMENT EQUIPMENT AND SUPPLIES.</t>
  </si>
  <si>
    <t>2YTMXW52279906</t>
  </si>
  <si>
    <t>THE VIRGINIA STATE POLICE WOULD UTILIZE THESE SHACKLES BY SWORN LAW ENFORCEMENT PERSONNEL TO SECURE CHAINS AND STRAPPING TO TRAILERS OR CARGO TRUCKS DURING THE TRANSPORTATION OF HEAVY LAW ENFORCEMENT EQUIPMENT OR SUPPLIES.</t>
  </si>
  <si>
    <t>2YTMXW52279842</t>
  </si>
  <si>
    <t>FAN,CIRCULATING</t>
  </si>
  <si>
    <t>THE VIRGINIA STATE POLICE REQUESTS THESE FANS TO BE UTILIZED BY SWORN PERSONNEL FOR AIR CIRCULATION IN INDOOR WORK SPACES.</t>
  </si>
  <si>
    <t>2YTMXW52472106</t>
  </si>
  <si>
    <t>THE VIRGINIA STATE POLICE REQUESTS THESE SHELTERS TO BE UTILIZED BY SWORN PERSONNEL FOR THE SECURE STORAGE OF LAW ENFORCEMENT EQUIPMENT AND SUPPLIES.</t>
  </si>
  <si>
    <t>2YTMXW52472112</t>
  </si>
  <si>
    <t>DSSHELTER</t>
  </si>
  <si>
    <t>RIGID WALL SHELTERS</t>
  </si>
  <si>
    <t>THE VIRGINIA STATE POLICE REQUESTS THIS SHELTER TO BE UTILIZED BY SWORN PERSONNEL TO SECURELY STORE LAW ENFORCEMENT EQUIPMENT AND SUPPLIES.</t>
  </si>
  <si>
    <t>2YTMXW52472102</t>
  </si>
  <si>
    <t>THE VIRGINIA STATE POLICE REQUESTS THIS PORTABLE LIGHT UNIT TO BE UTILIZED BY SWORN PERSONNEL DURING INVESTIGATIONS OR NATURAL DISASTERS IN THE DARKNESS.</t>
  </si>
  <si>
    <t>2YTMXW51575923</t>
  </si>
  <si>
    <t>TAPE,PRESSURE SENSITIVE ADHESIVE</t>
  </si>
  <si>
    <t>THE VIRGINIA STATE POLICE REQUESTS THE ADHESIVE TAPE TO BE UTILIZED BY SWORN PERSONNEL DURING MEDICAL EMERGENCIES INVOLVING DEPARTMENT PERSONNEL OR CITIZENS.</t>
  </si>
  <si>
    <t>2YTMXW52139408</t>
  </si>
  <si>
    <t>THE VIRGINIA STATE POLICE REQUESTS THESE BAGS TO BE UTILIZED BY SWORN PERSONNEL TO CARRY AND SECURE VITAL LAW ENFORCEMENT EQUIPMENT AND SUPPLIES INSIDE OF THE PATROL VEHICLE.</t>
  </si>
  <si>
    <t>2YTMXW52279936</t>
  </si>
  <si>
    <t>VIRGINIA STATE POLICE REQUESTS THESE MATS TO BE UTILIZED SWORN LAW ENFORCEMENT PERSONNEL DURING EMERGENCY SITUATIONS INVOLVING LAW ENFORCEMENT ACTIVITIES.</t>
  </si>
  <si>
    <t>2YTMXW52622502</t>
  </si>
  <si>
    <t>THE VIRGINIA STATE POLICE REQUESTS THESE BAGS TO BE UTILIZED BY SWORN PERSONNEL DURING NATURAL DISASTER EMERGENCIES TO CARRY ADDITIONAL EQUIPMENT.</t>
  </si>
  <si>
    <t>2YTMXW52622503</t>
  </si>
  <si>
    <t>THE VIRGINIA STATE POLICE REQUESTS THESE BAGS TO BE UTILIZED BY SWORN PERSONNEL DURING DISASTER EMERGENCIES WHERE ADDITIONAL EQUIPMENT NEEDS TO BE TRANSPORTED.</t>
  </si>
  <si>
    <t>2YTMXW52622521</t>
  </si>
  <si>
    <t>THE VIRGINIA STATE POLICE REQUESTS THESE BAGS TO BE UTILIZED BY SWORN PERSONNEL DURING DISASTER EMERGENCIES TO CARRY ADDITIONAL EQUIPMENT.</t>
  </si>
  <si>
    <t>2YTMXW52552525</t>
  </si>
  <si>
    <t>2YTMXW52552529</t>
  </si>
  <si>
    <t>POUCH,CANTEEN,GENER</t>
  </si>
  <si>
    <t>THE VIRGINIA STATE POLICE REQUESTS THESE POUCHES TO BE UTILIZED BY SWORN PERSONNEL FOR CARRYING CANTEENS.</t>
  </si>
  <si>
    <t>2YTMXW52279937</t>
  </si>
  <si>
    <t>VIRGINIA STATE POLICE REQUESTS THESE SLEEPING BAGS TO BE UTILIZED BY SWORN PERSONNEL DURING EMERGENCY SITUATIONS.</t>
  </si>
  <si>
    <t>2YTMXW52279938</t>
  </si>
  <si>
    <t>CUP,WATER CANTEEN</t>
  </si>
  <si>
    <t>VIRGINIA STATE POLICE REQUESTS THESE WATER CANTEEN CUPS TO BE UTILIZED BY SWORN PERSONNEL DURING EMERGENCY SITUATIONS.</t>
  </si>
  <si>
    <t>2YTMXW52279939</t>
  </si>
  <si>
    <t>VIRGINIA STATE POLICE REQUESTS THESE DUFFLE BAGS TO BE UTILIZED BY SWORN PERSONNEL DURING EMERGENCY SITUATIONS.</t>
  </si>
  <si>
    <t>2YTMXW52068466</t>
  </si>
  <si>
    <t>THE VIRGINIA STATE POLICE REQUESTS THIS PROPERTY TO BE UTILIZED BY SWORN PERSONNEL DURING LAW ENFORCEMENT ACTIVITIES AND EMERGENCIES IN CONJUNCTION WITH THE MATCHING CANTEEN CONTAINER.</t>
  </si>
  <si>
    <t>2YTMXW52068467</t>
  </si>
  <si>
    <t>THE VIRGINIA STATE POLICE REQUESTS THIS PROPERTY TO BE UTILIZED BY SWORN PERSONNEL DURING LAW ENFORCEMENT ACTIVITIES AND EMERGENCIES IN CONJUNCTION WITH THE CANTEEN CONTAINER.</t>
  </si>
  <si>
    <t>2YTMXW52068468</t>
  </si>
  <si>
    <t>THE VIRGINIA STATE POLICE REQUESTS THIS PROPERTY TO BE UTILIZED BY SWORN PERSONNEL DURING LAW ENFORCEMENT ACTIVITIES AND EMERGENCIES TO BE USED IN CONJUNCTION WITH THE CANTEEN CONTAINER.</t>
  </si>
  <si>
    <t>2YTMXW52279933</t>
  </si>
  <si>
    <t>VIRGINIA STATE POLICE REQUESTS THESE SLEEPING BAGS TO BE UTILIZED SWORN LAW ENFORCEMENT PERSONNEL DURING EMERGENCY SITUATIONS INVOLVING LAW ENFORCEMENT ACTIVITIES.</t>
  </si>
  <si>
    <t>2YTMXW52279935</t>
  </si>
  <si>
    <t>TAZEWELL COUNTY SHERIFF OFFICE (2YTLQT)</t>
  </si>
  <si>
    <t>2YTLQT51928172</t>
  </si>
  <si>
    <t>THIS LAW ENFORCEMENT AGENCY WOULD UTILIZE THESE ITEMS FOR IT'S SWORN DEPUTIES DURING THEIR DAY TO DAY DUTIES TO HELP PROVIDE LESS LETHAL MEANS OF DEALING WITH CRITICAL SITUATIONS.  THANK YOU FOR YOUR CONSIDERATION.</t>
  </si>
  <si>
    <t>WASHINGTON COUNTY SHERIFF DEPT (2YTM9Q)</t>
  </si>
  <si>
    <t>2YTM9Q51997873</t>
  </si>
  <si>
    <t>WASHINGTON COUNTY SHERIFF'S OFFICE IS A LAW ENFORCEMENT AGENCY IN THE STATE OF VIRGINIA. OUR AGENCY COULD USE THIS PLAN JANE VEHICLE FOR UNDER COVERED WORK IN LAW ENFORCEMENT INVESTIGATION. THIS VEHICLE WILL BE USE BY LAW ENFORCEMENT PERSONNEL.</t>
  </si>
  <si>
    <t>2YTM9Q51997870</t>
  </si>
  <si>
    <t>WASHINGTON COUNTY SHERIFF'S OFFICE IS A LAW ENFORCEMENT AGENCY IN THE STATE OF VIRGINIA. OUR AGENCY COULD USE THE VEHICLE FOR UNDER COVERED WORK WHERE A PLAN JANE TYPE VEHICLE IS NEEDED. THIS VEHICLE WILL BE USE BY LAW ENFORCEMENT PERSONNEL.</t>
  </si>
  <si>
    <t>2YTM9Q51645605</t>
  </si>
  <si>
    <t>WASHINGTON COUNTY SHERIFF'S OFFICE IS A LAW ENFORCEMENT AGENCY IN THE STATE OF VIRGINIA. OUR AGENCY COULD USE THIS PICK-UP FOR PATROLING AND TRANSPORTING PRISIONERS. THIS TRUCK WILL BE USE BY LAW ENFORCEMENT PERSONNEL.</t>
  </si>
  <si>
    <t>2YTM9Q52551837</t>
  </si>
  <si>
    <t>WASHINGTON COUNTY SHERIFF'S OFFICE IS A LAW ENFORCEMENT AGENCY IN THE STATE OF VIRGINIA. OUR AGENCY COULD USE THIS PICKUP FOR PATROLING AND PRISIONER TRANSPORTS. THIS VEHICLE WILL BE USE BY LAW ENFORCEMENT PERSONNEL.</t>
  </si>
  <si>
    <t>2YTM9Q52551836</t>
  </si>
  <si>
    <t>WASHINGTON COUNTY SHERIFF'S OFFICE IS A LAW ENFORCEMENT AGENCY IN THE STATE OF VIRGINIA. OUR AGENCY COULD USE THIS PICK-UP FOR PATROLING AND PRISIONER TRANSPORTS. THIS VEHICLE WILL BE USE BY LAW ENFORCEMENT PERSONNEL.</t>
  </si>
  <si>
    <t>2YTM9Q52551835</t>
  </si>
  <si>
    <t>2YTM9Q52279729</t>
  </si>
  <si>
    <t>WASHINGTON COUNTY SHERIFF'S OFFICE IS A LAW ENFORCEMENT AGENCY IN THE STATE OF VIRGINIA. OUR AGENCY COULD USE THIS VAN FOR TRANSPORTING EQUIPMENT. THIS VEHICLE WILL BE USE BY LAW ENFORCEMENT PERSONNEL.</t>
  </si>
  <si>
    <t>2YTM9Q52138689</t>
  </si>
  <si>
    <t>WASHINGTON COUNTY SHERIFF'S OFFICE IS A LAW ENFORCEMENT AGENCY IN THE STATE OF VIRGINIA. OUR AGENCY COULD USE THIS FORD PICK-UP TRUCK FOR PATROLING AND PRISIONER TRANSPORTS. THIS VEHICLE WILL BE USE BY LAW ENFORCEMENT PERSONNEL.</t>
  </si>
  <si>
    <t>2YTM9Q52138688</t>
  </si>
  <si>
    <t>WASHINGTON COUNTY SHERIFF'S OFFICE IS A LAW ENFORCEMENT AGENCY IN THE STATE OF VIRGINIA. OUR AGENCY COULD USE THIS BUCKET TRUCK FOR INSTALLING LICENSE PLATE READERS THROUGHOUT OUR COUNTY. AND MOVE THEM AS WE NEED TO. THIS VEHICLE WILL BE USE BY LAW ENFORCEMENT PERSONNEL.</t>
  </si>
  <si>
    <t>2YTM9Q51645640</t>
  </si>
  <si>
    <t>WASHINGTON COUNTY SHERIFF'S OFFICE IS A LAW ENFORCEMENT AGENCY IN THE STATE OF VIRGINIA. OUR AGENCY COULD USE THIS PICK-UP FOR HAULING EQUIPMENT AND UNDER COVER WORK WHERE A UN-MARKED VEHICLE IS NEEDED. THIS VEHICLE WILL BE USE BY LAW ENFORCEMENT PERSONNEL.</t>
  </si>
  <si>
    <t>2YTM9Q50940279</t>
  </si>
  <si>
    <t>WASHINGTON COUNTY SHERIFF'S OFFICE IS A LAW ENFORCEMENT AGENCY IN THE STATE OF VIRGINIA. OUR AGENCY COULD USE THIS TRUCK TO TRANSPORT EQUIPMENT. THIS TRUCK WILL BE USE BY LAW ENFORCEMENT PERSONAL.</t>
  </si>
  <si>
    <t>2YTM9Q51645601</t>
  </si>
  <si>
    <t>WASHINGTON COUNTY SHERIFF'S OFFICE IS A LAW ENFORCEMENT AGENCY IN THE STATE OF VIRGINIA. OUR AGENCY COULD USE THIS VEHICLE FOR UNDER COVER WORK WHERE A UN-MARK VEHICLE IS NEEDED. THIS VEHICLE WILL BE USE BY LAW ENFORCEMENT PERSONNEL.</t>
  </si>
  <si>
    <t>2YTM9Q51927738</t>
  </si>
  <si>
    <t>WASHINGTON COUNTY SHERIFF'S OFFICE IS A LAW ENFORCEMENT AGENCY IN THE STATE OF VIRGINIA. OUR AGENCY COULD USE THE LOW BED TRAILER TO HAUL HEAVY EQUIPMENT. YES OUR AGENCY HAS RECEIVED 19 TRAILERS IN THE LAST 3 YEARS. HOWEVER, WE HAVE 9 LIGHT TOWER TRAILER AND A CAR TRAILER ETC. PUT NOTHING BIG ENOUGH TO HAUL HEAVY DUTY EQUIPMENT LIE A FRONT IN LOADER OR FORKLIFT OR TRUCK.
THIS VEHICLE WILL BE USE BY LAW ENFORCEMENT.</t>
  </si>
  <si>
    <t>2YTM9Q52410753</t>
  </si>
  <si>
    <t>WASHINGTON COUNTY SHERIFF'S OFFICE IS A LAW ENFORCEMENT AGENCY IN THE STATE OF VIRGINIA. OUR AGENCY COULD USE THIS SPECIALIZE TRAILER FOR TRANSPORTING ATV'S AND EQUIPMENT. THIS TRAILER WILL BE USE BY LAW ENFORCEMENT PERSONNEL. OUR AGENCY HAS SEVERAL TRAILERS. HOWEVER, NOT TO STORE OUR ATV'S AND EQUIPMENT AND BE READILY AVAILABLE FOR EMERGENCY RESPONSE.</t>
  </si>
  <si>
    <t>2YTM9Q51716075</t>
  </si>
  <si>
    <t>WASHINGTON COUNTY SHERIFF'S OFFICE IS A LAW ENFORCEMENT AGENCY IN THE STATE OF VIRGINIA. OUR AGENCY COULD USE THIS TRACTOR FOR SPREADING GRAVEL AT OUR FIRING RANGE AND ALSO WITH A ATTACHMENT WE COULD USE THIS TRACTOR TO MOW THE GRASS. THIS TRACTOR WILL BE USE BY LAW ENFORCEMENT PERSONAL.</t>
  </si>
  <si>
    <t>2YTM9Q51997880</t>
  </si>
  <si>
    <t>WASHINGTON COUNTY SHERIFF'S OFFICE IS A LAW ENFORCEMENT AGENCY IN THE STATE OF VIRGINIA. OUR AGENCY COULD USE THE FRONT END LOADER FOR MOVING DIRT AND GRAVEL. WE COULD ALSO USE THIS LOADER FOR CLEARING LAND AT OUR NEW FIRING RANGE. THIS LOADER WILL BE USE BY LAW ENFORCEMENT PERSONNEL.</t>
  </si>
  <si>
    <t>2YTM9Q51716090</t>
  </si>
  <si>
    <t>WASHINGTON COUNTY SHERIFF'S OFFICE IS A LAW ENFORCEMENT AGENCY IN THE STATE OF VIRGINIA. OUR AGENCY COULD USE THIS LIFT TO CHANGE LIGHTS IN OUR WAREHOUSE AND ALSO WORK ON OUR BUILDING. THIS LIFT WOULD BE USE BY LAW ENFORCEMENT PERSONAL.</t>
  </si>
  <si>
    <t>2YTM9Q51716097</t>
  </si>
  <si>
    <t>WASHINGTON COUNTY SHERIFF'S OFFICE IS A LAW ENFORCEMENT AGENCY IN THE STATE OF VIRGINIA. OUR AGENCY COULD USE THIS LIFT FOR CHANGING LIGHTS IN OUR WAREHOUSE AND OTHER MAINTENANCE NEED IN A HIGH SPACE. THIS LIFT WILL BE USE BY LAW ENFORCEMENT PERSONNEL.</t>
  </si>
  <si>
    <t>2YTM9Q51927478</t>
  </si>
  <si>
    <t>RAMP,MOBILE,CONTAINER LOADING</t>
  </si>
  <si>
    <t>WASHINGTON COUNTY SHERIFF'S OFFICE IS A LAW ENFORCEMENT AGENCY IN THE STATE OF VIRGINIA. OUR AGENCY COULD USE THIS RAMP FOR LOADING AND UNLOADING EQUIPMENT. THIS RAMP WILL BE USE BY LAW ENFORCEMENT PERSONAL.</t>
  </si>
  <si>
    <t>2YTM9Q52411694</t>
  </si>
  <si>
    <t>TWINE,FIBROUS</t>
  </si>
  <si>
    <t>LB</t>
  </si>
  <si>
    <t>THE WASHINGTON COUNTY SHERIFF'S OFFICE IS A LAW ENFORCEMENT AGENCY. ITEMS WILL BE USED FOR INCIDENTS AND TRAINING EXERCISES. TO BE USED FOR OFFICIAL USE ONLY.</t>
  </si>
  <si>
    <t>2YTM9Q52481689</t>
  </si>
  <si>
    <t>DSMARLIFD</t>
  </si>
  <si>
    <t>MARINE LIFESAVING AND DIVING EQUIPMENT</t>
  </si>
  <si>
    <t>THE WASHINGTON COUNTY SHERIFF'S OFFICE IS A LAW ENFORCEMENT AGENCY. ITEMS WILL BE USED FOR LIFE-SAVING EQUIPMENT DURING NATURAL DISASTERS AND WATER EXERCISES. TO BE USED FOR OFFICIAL USE ONLY.</t>
  </si>
  <si>
    <t>2YTM9Q52481691</t>
  </si>
  <si>
    <t>THE WASHINGTON COUNTY SHERIFF'S OFFICE IS A LAW ENFORCEMENT AGENCY. ITEMS WILL BE USED FOR POWER SUPPLY EQUIPMENT DURING NATURAL DISASTERS AND EXERCISES. TO BE USED FOR OFFICIAL USE ONLY.</t>
  </si>
  <si>
    <t>2YTM9Q52411692</t>
  </si>
  <si>
    <t>THE WASHINGTON COUNTY SHERIFF'S OFFICE IS A LAW ENFORCEMENT AGENCY. ITEMS WILL BE USED FOR EQUIPMENT STORAGE. TO BE USED FOR OFFICIAL USE ONLY.</t>
  </si>
  <si>
    <t>2YTM9Q52411693</t>
  </si>
  <si>
    <t>WISE COUNTY SHERIFF OFFICE (2YTNUS)</t>
  </si>
  <si>
    <t>2YTNUS52552213</t>
  </si>
  <si>
    <t>THIS WILL BE USED IN OUR WAREHOUSE TO MOVE AMMUNITION AND OTHER LAW ENFORCEMENT EQUIPMENT WE RECEIVE.</t>
  </si>
  <si>
    <t>2YTNUS52552212</t>
  </si>
  <si>
    <t>2YTNUS52068490</t>
  </si>
  <si>
    <t>THIS WILL BE ADDED TO OUR FITNESS ROOM FOR USE BY DEPUTIES ON AND OFF DUTY FOR HEALTH AND WELLNESS.</t>
  </si>
  <si>
    <t>2YTNUS51998508</t>
  </si>
  <si>
    <t>THIS WILL BE PLACED IN OUR FITNESS ROOM FOR DEPUTIES TO USE FOR THEIR HEALTH AND WELLNESS.</t>
  </si>
  <si>
    <t>2YTNUS51998511</t>
  </si>
  <si>
    <t>DSBICYCEE</t>
  </si>
  <si>
    <t>BICYCLE, EXERCISE</t>
  </si>
  <si>
    <t>THIS WILL BE PLACED IN OUR FITNESS ROOM FOR DEPUTIES TO USE FOR HEALTH AND WELLNESS.</t>
  </si>
  <si>
    <t>2YTNUS51998509</t>
  </si>
  <si>
    <t>WA</t>
  </si>
  <si>
    <t>BENTON COUNTY SHERIFFS OFFICE (2YTA49)</t>
  </si>
  <si>
    <t>2YTA4952209959</t>
  </si>
  <si>
    <t>DSMISCSVS</t>
  </si>
  <si>
    <t>MISCELLANEOUS SERVICE AND TRADE EQUIPMEN</t>
  </si>
  <si>
    <t>THE BENTON COUNTY SHERIFF'S OFFICE WOULD USE THIS EQUIPMENT WOULD US THIS EQUIPMENT IN RESCUE OPERATION WHEN DOING SEARCH AND RESCUE NEAR THE WATER OR IN STEEP ELEVATIONS TO KEEP ALL PARTIES SAFE. ADDITIONALLY, OUR DETECTIVE'S DIVISION COULD USE THIS IN SEARCHING FOR BURIED EVIDENCE OR IN FIRE INVESTIGATIONS TO MOVE HAZARDS TO MAKE IT SAFE TO ENTER AREAS THAT MAY COLLAPSE.</t>
  </si>
  <si>
    <t>KING COUNTY METRO TRANSIT PD (2YTRVE)</t>
  </si>
  <si>
    <t>2YTRVE52411221</t>
  </si>
  <si>
    <t>THIS DEVICE WAS OBSERVED IN PERSON AT LOCATION, WHICH IS EXACTLY WHAT IS NEEDED FOR LEA TO RELOCATE HEAVY EQUIPMENT AND TRAILER BASED VEHICLES AROUND AGENCY LOT AS WELL AS IN STORAGE WAREHOUSE. THIS ITEM SHALL BE KEPT AT SECURE LOCATION AND USED FOR OFFICIAL LE PURPOSES BY TRAINED COMMISSIONED PERSONNEL.</t>
  </si>
  <si>
    <t>2YTRVE51928234</t>
  </si>
  <si>
    <t>THIS ITEM SHALL BE USED TO STORE MISC TOOLS, EQUIPMENT AND OTHER ITEMS IN THE MAINTENANCE AREA AND BE AVAILABLE TO ALL PERSONNEL DURING THEIR DUTY DAY TO PERFORM MAINTENANCE ON VEHICLES OR EQUIPMENT WHEN AGENCY SHOPS ARE NOT AVAILABLE FOR SAID WORK.</t>
  </si>
  <si>
    <t>2YTRVE51928233</t>
  </si>
  <si>
    <t>2YTRVE51928237</t>
  </si>
  <si>
    <t>LADDER,SAFETY STEP</t>
  </si>
  <si>
    <t>THIS LADDER SHALL BE STORED IN THE PRECINCT MAINTENANCE ROOM AND MADE AVAILABLE FOR ALL PERSONNEL AND USED TO CONDUCT WORK RELATED REPAIRS AND MAINTENANCE ON AREAS REQUIRING ELEVATION.</t>
  </si>
  <si>
    <t>2YTRVE52482192</t>
  </si>
  <si>
    <t>LADDER,EXTENSION</t>
  </si>
  <si>
    <t>THIS ITEM SHALL BE KEPT AT THE PRECINCT AND USED TO REACH HEIGHTS THAT REQUIRE EQUIPMENT OR STORAGE KEPT AT ELEVATED POSITIONS AND OUT OF THE WAY. IT SHALL ALSO BE USED FOR GENERAL MAINTENANCE AND UPKEEP AROUND THE PREMISES.</t>
  </si>
  <si>
    <t>2YTRVE52482191</t>
  </si>
  <si>
    <t>2YTRVE51918239</t>
  </si>
  <si>
    <t>CASE,OPTICAL INSTRU</t>
  </si>
  <si>
    <t>THIS CASE SHALL BE USED TO STORE PREVIOUS ACQUIRED CAMERA EQUIPMENT AND ASSIST IN IT'S TRANSPORT FROM SCENE TO SCENE DURING INVESTIGATIONS BY PRECINCT DETECTIVES OR OTHER PATROL RESOURCES.</t>
  </si>
  <si>
    <t>2YTRVE52482190</t>
  </si>
  <si>
    <t>THESE ITEMS SHALL BE ASSIGNED TO PATROL OFFICERS FOR USE IN THE FIELD, TO HELP IDENTIFY PERSONS OF INTEREST FROM A GREAT DISTANCE WHILE CONDUCTING SURVEILLANCE OPERATIONS.</t>
  </si>
  <si>
    <t>2YTRVE51928232</t>
  </si>
  <si>
    <t>2YTRVE52481742</t>
  </si>
  <si>
    <t>STORAGE CASE TO KEEP PREVIOUSLY ACQUIRED CAMERA AND PHOTOGRAPHIC EQUIPMENT IN FOR STORAGE PURPOSES AS WELL AS DEPLOYING INTO THE FIELD. MUCH EASIER TO CARRY IT ALL IN ONE CASE THAN IN BACKPACKS.</t>
  </si>
  <si>
    <t>2YTRVE51928238</t>
  </si>
  <si>
    <t>DSRADIO02</t>
  </si>
  <si>
    <t>RADIO, HOME/PERSONAL USE</t>
  </si>
  <si>
    <t>THIS RADIO SYSTEM SHALL BE PLACED IN THE PRECINCT FITNESS ROOM AND USED DURING AVAILABLE HEALTH AND WELLNESS SESSIONS DURING THE DUTY DAY FOR ALL COMMISSIONED AND NON COMMISSIONED PERSONNEL</t>
  </si>
  <si>
    <t>2YTRVE51918240</t>
  </si>
  <si>
    <t>MOPHEAD,WET</t>
  </si>
  <si>
    <t>THIS ITEM SHALL BE USED, IN CONJUNCTION WITH PREVIOUS ACQUISITIONS, TO CLEAN AREAS WITHIN THE PRECINCT AND GYM WORKOUT ROOM FOR SANITARY PURPOSES.</t>
  </si>
  <si>
    <t>KING COUNTY SHERIFF'S OFFICE (2YTF7N)</t>
  </si>
  <si>
    <t>2YTF7N52138717</t>
  </si>
  <si>
    <t>CARGO TRAILER   WILL BE USED BY SHERIFF'S OFFICE TRAINING UNIT TO STORE AND TRANSPORT CONES, TIRES, SIGN AND TOOLS FOR OUR DRIVING TRAINING PROGRAM.</t>
  </si>
  <si>
    <t>2YTF7N52481636</t>
  </si>
  <si>
    <t>TOWABLE FLOOD LIGHTS.  WILL BE USED BY SHERIFF'S OFFICE FOR NIGHT TIME ILLUMINATION AT THE DRIVING TRACK.  WILL ALLOW FOR NIGHT TIME DRIVER TRAINING.</t>
  </si>
  <si>
    <t>2YTF7N52068529</t>
  </si>
  <si>
    <t>FOR USE BY SHERIFF'S DEPUTIES FOR ELECTRICAL REPAIRS AND ELECTRONICS TRAINING.</t>
  </si>
  <si>
    <t>2YTF7N52391324</t>
  </si>
  <si>
    <t>WARDROBE</t>
  </si>
  <si>
    <t>THIS ITEM WILL BE USED TO SCORE HEAVY GEAR FOR POLICE RECRUITS. THIS WILL ALLOW FOR MORE ORGANIZED DEPLOYMENT OF POLICE GEAR, INCREASING READINESS AND ULTIMATELY IMPROVING PUBLIC SAFETY</t>
  </si>
  <si>
    <t>2YTF7N52209521</t>
  </si>
  <si>
    <t>ABSORBENT MATERIAL,OIL AND WATER</t>
  </si>
  <si>
    <t>THIS ABSORBENT WILL BE USED AT OUR AUTO SHOP TO PREVENT SPILLS DURING ROUTINE MAINTENANCE. THIS WILL LESSEN THE RISK OF EXTENDING SERVICE TIMES ON VEHICLES, GETTING OFFICERS BACK ON THE STREET FASTER AND INCREASING PUBLIC SAFETY</t>
  </si>
  <si>
    <t>MILTON POLICE DEPT (2YTHST)</t>
  </si>
  <si>
    <t>2YTHST52551917</t>
  </si>
  <si>
    <t>FOR USE BY THE MILTON POLICE DEPARTMENT SWAT TEAM TO USE ON MISSIONS AT NIGHT TO BE ABLE TO SEE IN DARKNESS. CONFIRMED STATUS AND CONDITION WITH SUSQUEHANNA. WE ACCEPT CONDITION AND STATUS.</t>
  </si>
  <si>
    <t>2YTHST52411687</t>
  </si>
  <si>
    <t>FOR USE BY THE MILTON POLICE DEPARTMENT SWAT TEAM TO BE USED ON NIGHT MISSIONS TO SAFELY CONDUCT OPERATIONS AND TO BE ABLE TO SEE AT NIGHT. CONFIRMED STATUS WITH SUSQUEHANNA. WE ACCEPT CONDITION AND STATUS.</t>
  </si>
  <si>
    <t>2YTHST51997935</t>
  </si>
  <si>
    <t>FOR USE BY THE MILTON POLICE DEPARTMENT SWAT TEAM TO ISSUE TO SNIPERS FOR CAMOUFLAGE TO BETTER PROTECT AND HIDE THEM DURING SWAT OPERATIONS.</t>
  </si>
  <si>
    <t>2YTHST51997936</t>
  </si>
  <si>
    <t>FOR USE BY THE MILTON POLICE DEPARTMENT SWAT TEAM TO BE ISSUED TO SNIPERS FOR CAMOUFLAGE TO BETTER HIDE AND PROTECT THEM DURING SWAT OPERATIONS.</t>
  </si>
  <si>
    <t>MONTESANO POLICE DEPT (2YTHYA)</t>
  </si>
  <si>
    <t>2YTHYA52542660</t>
  </si>
  <si>
    <t>OUR AGENCY NEEDS THIS EQUIPMENT.  WILL BE USED BY REQUESTING AGENCY FOR LAW ENFORCEMENT PURPOSES ONLY.  WILL BE ISSUED TO POLICE OFFICERS - SWAT MEMBERS FOR DUTY USE AND CLEANING OF THEIR ISSUED FIREARMS.</t>
  </si>
  <si>
    <t>2YTHYA52622281</t>
  </si>
  <si>
    <t>SLING,WEAPON,M249 M</t>
  </si>
  <si>
    <t>OUR AGENCY NEEDS THIS EQUIPMENT.  WILL BE USED BY REQUESTING AGENCY FOR LAW ENFORCEMENT PURPOSES ONLY.  WILL BE ISSUED TO POLICE OFFICER - SWAT MEMBER AS A SLING FOR PATROL RIFLE AND POLICE SNIPER RIFLE FOR DUTY USE DURING POLICE AND SWAT OPERATIONS.</t>
  </si>
  <si>
    <t>2YTHYA52552300</t>
  </si>
  <si>
    <t>RESPIRATOR,AIR FILTERING</t>
  </si>
  <si>
    <t>OUR AGENCY NEEDS THIS EQUIPMENT.  WILL BE USED BY REQUESTING AGENCY FOR LAW ENFORCEMENT PURPOSES ONLY.  WILL BE ISSUED TO POLICE OFFICERS FOR INCREASED RESPIRATORY PROTECTION WHEN EXPOSED TO CONTAMINATED OR DUSTY ENVIRONMENTS WHILE RESPONDING TO PATROL SITUATIONS.</t>
  </si>
  <si>
    <t>2YTHYA52411111</t>
  </si>
  <si>
    <t>OUR AGENCY NEEDS THIS EQUIPMENT.  FOR USE BY REQUESTING AGENCY.  WILL BE ISSUED TO PATROL OFFICERS - SWAT MEMBERS FOR NIGHT OPERATIONS AND SEARCH AND RESCUE OPERATIONS.  THIS EQUIPMENT WILL BE UTILIZED FOR RECON AND OBSERVATION DURING SWAT OPERATIONS.  THIS EQUIPMENT WILL BE UTILIZED BY PATROL OFFICERS FOR SEARCH AND RESCUE OPERATIONS TO LOCATE LOST HIKERS IN THE FOREST THAT IS IN OUR JURISDICTION.  WILL BE USED FOR LAW ENFORCEMENT PURPOSES ONLY.</t>
  </si>
  <si>
    <t>2YTHYA52340569</t>
  </si>
  <si>
    <t>AGENCY NEEDS THIS EQUIPMENT.  FOR USE BY REQUESTING AGENCY.  WILL BE ISSUED TO PATROL OFFICER - SWAT MEMBER FOR PATROL RIFLE DUTY USE.  WE ARE A SMALL AGENCY WITH A LIMITED BUDGET AND HAVE THE NEED TO EQUIP PATROL OFFICERS WITH THIS EQUIPMENT FOR NIGHT VISION OPERATIONS.  WILL BE USED FOR LAW ENFORCEMENT DUTY USE ONLY. VERIFIED CONDITION WITH POC SPROWL WHO INDICATED THIS ITEM IS GOOD TO GO.</t>
  </si>
  <si>
    <t>2YTHYA52411002</t>
  </si>
  <si>
    <t>OUR AGENCY NEEDS THIS EQUIPMENT.  FOR USE BY REQUESTING AGENCY.  WILL BE ISSUED TO PATROL OFFICERS - SWAT MEMBERS FOR NIGHT TRAINING AND OPERATIONS.  WILL BE USED WITH ASSIGNED PATROL RIFLES FOR LAW ENFORCEMENT PURPOSES ONLY.</t>
  </si>
  <si>
    <t>2YTHYA52622309</t>
  </si>
  <si>
    <t>OUR AGENCY NEEDS THIS EQUIPMENT.  WILL BE USED BY REQUESTING AGENCY FOR LAW ENFORCEMENT PURPOSES ONLY.  WILL BE ISSUED TO POLICE OFFICERS - SWAT MEMBERS TO INCREASE COMMUNICATION CAPABILITIES AND HEARING PROTECTION DURING TRAINING AND OPERATIONS.  THIS EQUIPMENT IS COMPATIBLE WITH THE COMMS THAT OUR AGENCY ISSUES TO OUR EMPLOYEES.  WILL PAY FOR SHIPPING OF THESE ITEMS TO OUR AGENCY WHEN REQUISITION IS APPROVED.</t>
  </si>
  <si>
    <t>2YTHYA52622308</t>
  </si>
  <si>
    <t>2YTHYA52139538</t>
  </si>
  <si>
    <t>FOR USE BY REQUESTING AGENCY.  INTENDED TO ISSUE TO PATROL OFFICERS AND SWAT MEMBERS FOR LAW ENFORCEMENT DUTY USE.</t>
  </si>
  <si>
    <t>2YTHYA52209604</t>
  </si>
  <si>
    <t>SOF COMBAT OPERATOR</t>
  </si>
  <si>
    <t>FOR USE BY REQUESTING LAW ENFORCEMENT AGENCY. WILL BE ISSUED TO PATROL SWAT MEMBERS FOR LAW ENFORCEMENT DUTY USE.</t>
  </si>
  <si>
    <t>2YTHYA52139539</t>
  </si>
  <si>
    <t>2YTHYA52622613</t>
  </si>
  <si>
    <t>OPTICAL READER,DATA ENTRY</t>
  </si>
  <si>
    <t xml:space="preserve">OUR AGENCY NEEDS THIS EQUIPMENT.  WILL BE USED BY REQUESTING AGENCY FOR LAW ENFORCEMENT PURPOSES ONLY.  WILL BE ISSUED TO POLICE OFFICERS FOR SCANNING BARCODES IN THEIR PATROL VEHICLES.  WILL COORDINATE SHIPPING TO OUR AGENCY WHEN REQUISITION IS APPROVED.
</t>
  </si>
  <si>
    <t>2YTHYA52552612</t>
  </si>
  <si>
    <t>OUR AGENCY NEEDS THIS EQUIPMENT.  WILL BE USED BY REQUESTING AGENCY FOR LAW ENFORCEMENT PURPOSES ONLY.  WILL BE ISSUED TO POLICE OFFICERS FOR SCANNING BARCODES IN THEIR PATROL VEHICLES.  WILL COORDINATE SHIPPING TO OUR AGENCY WHEN REQUISITION IS APPROVED.</t>
  </si>
  <si>
    <t>2YTHYA5218KM01</t>
  </si>
  <si>
    <t>2YTHYA52341113</t>
  </si>
  <si>
    <t>DSOFFCEBX</t>
  </si>
  <si>
    <t>OFFICE SUPPLIES (BOX)</t>
  </si>
  <si>
    <t>OUR AGENCY NEEDS THIS EQUIPMENT.  FOR USE BY REQUESTING AGENCY.  THESE ITEMS WILL BE USED FOR EVIDENCE PACKAGING AND FILING LAW ENFORCEMENT DOCUMENTS AT OUR AGENCY.</t>
  </si>
  <si>
    <t>2YTHYA52622669</t>
  </si>
  <si>
    <t>CLIPBOARD FILE</t>
  </si>
  <si>
    <t xml:space="preserve">OUR AGENCY NEEDS THIS EQUIPMENT.  WILL BE USED BY REQUESTING AGENCY FOR LAW ENFORCEMENT PURPOSES ONLY.  WILL BE ISSUED TO POLICE OFFICERS AND DEPARTMENT OFFICE STAFF FOR COMPLETING DOCUMENTATION IN THE FIELD.
</t>
  </si>
  <si>
    <t>2YTHYA52622668</t>
  </si>
  <si>
    <t>2YTHYA52542664</t>
  </si>
  <si>
    <t>MARKER,TUBE TYPE</t>
  </si>
  <si>
    <t>DZ</t>
  </si>
  <si>
    <t xml:space="preserve">OUR AGENCY NEEDS THIS EQUIPMENT.  WILL BE USED BY REQUESTING AGENCY FOR LAW ENFORCEMENT PURPOSES ONLY.  WILL BE ISSUED TO POLICE OFFICERS AND DEPARTMENT OFFICE STAFF FOR DAILY WRITING TASKS AND DOCUMENTING INFORMATION.
</t>
  </si>
  <si>
    <t>2YTHYA52552663</t>
  </si>
  <si>
    <t>PEN,BALL-POINT</t>
  </si>
  <si>
    <t>2YTHYA52119468</t>
  </si>
  <si>
    <t>FOR USE BY REQUESTING AGENCY. FOR USE AT THE MONTESANO POLICE DEPARTMENT OFFICES.</t>
  </si>
  <si>
    <t>2YTHYA52119466</t>
  </si>
  <si>
    <t>BAG,WASTE RECEPTACLE</t>
  </si>
  <si>
    <t>BE</t>
  </si>
  <si>
    <t>FOR USE BY REQUESTING AGENCY AT THE MONTESANO POLICE DEPARTMENT OFFICES.</t>
  </si>
  <si>
    <t>2YTHYA52532568</t>
  </si>
  <si>
    <t xml:space="preserve">OUR AGENCY NEEDS THIS EQUIPMENT.  WILL BE USED BY REQUESTING AGENCY FOR LAW ENFORCEMENT PURPOSES ONLY.  WILL BE USED AT OUR AGENCY FOR STORING EQUIPMENT AND TRANSPORTING EQUIPMENT TO TRAINING SITES.
</t>
  </si>
  <si>
    <t>2YTHYA52532295</t>
  </si>
  <si>
    <t>OUR AGENCY NEEDS THIS EQUIPMENT.  WILL BE USED BY REQUESTING AGENCY FOR LAW ENFORCEMENT PURPOSES ONLY.  WILL BE USED AT THE REQUESTING AGENCY'S OFFICE BUILDING FOR STORAGE AND TRANSPORTATION OF POLICE EQUIPMENT TO AND FROM TRAINING SESSIONS.</t>
  </si>
  <si>
    <t>2YTHYA52532296</t>
  </si>
  <si>
    <t>2YTHYA52532297</t>
  </si>
  <si>
    <t>CASE,SHIPPING AND S</t>
  </si>
  <si>
    <t>2YTHYA52532298</t>
  </si>
  <si>
    <t>2YTHYA52532299</t>
  </si>
  <si>
    <t>2YTHYA52391368</t>
  </si>
  <si>
    <t>OUR AGENCY NEEDS THIS EQUIPMENT. FOR USE BY REQUESTING AGENCY FOR LAW ENFORCEMENT PURPOSES ONLY. THIS EQUIPMENT WILL BE ISSUED TO POLICE OFFICERS FOR STORAGE OF POLICE EQUIPMENT AT THE MONTESANO POLICE DEPARTMENT.</t>
  </si>
  <si>
    <t>2YTHYA52622585</t>
  </si>
  <si>
    <t>OUR AGENCY NEEDS THIS EQUIPMENT.  WILL BE USED BY REQUESTING AGENCY FOR LAW ENFORCEMENT PURPOSES ONLY.  WILL BE ISSUED TO POLICE OFFICERS - SWAT MEMBERS FOR DUTY USE WHILE OPERATING AND TRAINING IN OUTDOOR AND WOODLAND ENVIRONMENTS.</t>
  </si>
  <si>
    <t>2YTHYA52552079</t>
  </si>
  <si>
    <t>OUR AGENCY NEEDS THIS EQUIPMENT. WILL BE USED BY REQUESTING AGENCY FOR LAW ENFORCEMENT PURPOSES ONLY. WILL BE ISSUED TO SWAT - SNIPER MEMBERS FOR WOODLAND TRAINING AND OPERATIONS. THIS EQUIPMENT WILL ASSIST POLICE SNIPERS WITH SHELTER DURING WOODLAND MISSIONS.</t>
  </si>
  <si>
    <t>2YTHYA52552080</t>
  </si>
  <si>
    <t>2YTHYA52481529</t>
  </si>
  <si>
    <t>OUR AGENCY NEEDS THIS EQUIPMENT. WILL BE USED BY REQUESTING AGENCY FOR LAW ENFORCEMENT PURPOSES.  WILL BE ISSUED TO OUR PATROL OFFICERS - SWAT MEMBERS FOR WOODLAND TRAINING AND OPERATIONS.  SPECIFICALLY, THIS EQUIPMENT WILL BE UTILIZED BY POLICE SNIPERS FROM OUR AGENCY WHO TRAIN AND OPERATE IN WOODLAND ENVIRONMENTS.</t>
  </si>
  <si>
    <t>2YTHYA52622586</t>
  </si>
  <si>
    <t>2YTHYA52320994</t>
  </si>
  <si>
    <t>OUR AGENCY NEEDS THIS EQUIPMENT. FOR USE BY REQUESTING AGENCY.  WILL BE ISSUED TO PATROL OFFICERS FOR COLD WEATHER SITUATIONS AND RESCUE OPERATIONS.  WILL BE USED FOR LAW ENFORCEMENT PURPOSES ONLY.</t>
  </si>
  <si>
    <t>2YTHYA52532567</t>
  </si>
  <si>
    <t xml:space="preserve">OUR AGENCY NEEDS THIS EQUIPMENT.  WILL BE USED BY REQUESTING AGENCY FOR LAW ENFORCEMENT PURPOSES ONLY.  WILL BE ISSUED TO POLICE OFFICERS - SWAT MEMBERS FOR DUTY USE DURING COLD WEATHER OPERATIONS.
</t>
  </si>
  <si>
    <t>2YTHYA52532566</t>
  </si>
  <si>
    <t>OUR AGENCY NEEDS THIS EQUIPMENT.  WILL BE USED BY REQUESTING AGENCY FOR LAW ENFORCEMENT PURPOSES ONLY.  WILL BE ISSUED TO POLICE OFFICERS - SWAT MEMBERS FOR DUTY USE DURING COLD WEATHER OPERATIONS.</t>
  </si>
  <si>
    <t>2YTHYA52532390</t>
  </si>
  <si>
    <t>2YTHYA52532399</t>
  </si>
  <si>
    <t>2YTHYA52532396</t>
  </si>
  <si>
    <t>2YTHYA52532395</t>
  </si>
  <si>
    <t>2YTHYA52532391</t>
  </si>
  <si>
    <t>2YTHYA52532400</t>
  </si>
  <si>
    <t>2YTHYA52119469</t>
  </si>
  <si>
    <t>FOR USE BY REQUESTING AGENCY AND WILL BE ISSUED TO PATROL DIVISION AND SWAT MEMBERS FOR DUTY USE.</t>
  </si>
  <si>
    <t>2YTHYA52119470</t>
  </si>
  <si>
    <t>2YTHYA52532283</t>
  </si>
  <si>
    <t>OUR AGENCY NEEDS THIS EQUIPMENT.  WILL BE USED BY REQUESTING AGENCY FOR LAW ENFORCEMENT PURPOSES ONLY.  WILL BE USED FOR POLICE TRAINING DAYS WHEN TRAINING OUTDOORS.  WILL BE USED FOR PRONE POSITION SHOOTING TRAINING FOR POLICE OFFICERS.</t>
  </si>
  <si>
    <t>2YTHYA52552638</t>
  </si>
  <si>
    <t>OUR AGENCY NEEDS THIS EQUIPMENT.  WILL BE USED BY REQUESTING AGENCY FOR LAW ENFORCEMENT PURPOSES ONLY.  WILL BE ISSUED TO POLICE OFFICERS - SWAT MEMBERS FOR DUTY USE WHILE DURING OUTDOOR MISSIONS-DEPLOYMENTS. THIS ITEM WILL BE USED FOR STORAGE, TRANSPORTATION, AND DEPLOYMENT OF GEAR ASSIGNED TO THE SAME INDIVIDUAL. WILL COORDINATE SHIPPING TO OUR AGENCY WHEN REQUISITION IS APPROVED.</t>
  </si>
  <si>
    <t>2YTHYA52532302</t>
  </si>
  <si>
    <t>POUCH,HAND GRENADE</t>
  </si>
  <si>
    <t>OUR AGENCY NEEDS THIS EQUIPMENT.  WILL BE USED BY REQUESTING AGENCY FOR LAW ENFORCEMENT PURPOSES ONLY.  WILL BE ISSUED TO POLICE OFFICERS - SWAT MEMBERS FOR DUTY EQUIPMENT RETENTION.  THESE POUCHES ARE WILL BE ATTACHED TO MOLLE VESTS OR BELTS FOR DUTY USE.</t>
  </si>
  <si>
    <t>2YTHYA52532303</t>
  </si>
  <si>
    <t>2YTHYA52532304</t>
  </si>
  <si>
    <t>OUR AGENCY NEEDS THIS EQUIPMENT.  WILL BE USED BY REQUESTING AGENCY FOR LAW ENFORCEMENT PURPOSES ONLY.  WILL BE ISSUED TO POLICE OFFICERS - SWAT MEMBERS FOR DUTY EQUIPMENT STORAGE.  THESE BAGS WILL BE UTILIZED FOR STORAGE AND TRANSPORTATION OF POLICE EQUIPMENT-CLOTHING TO TRAINING SESSIONS OR DUTY OPERATIONS.</t>
  </si>
  <si>
    <t>2YTHYA52532305</t>
  </si>
  <si>
    <t>MOUNT VERNON POLICE DEPT (2YTH6K)</t>
  </si>
  <si>
    <t>2YTH6K52340506</t>
  </si>
  <si>
    <t>TIRES WILL BE USED FOR MRAP AS WELL AS LEA'S NUMEROUS TACTICAL VEHICLES.</t>
  </si>
  <si>
    <t>PIERCE COUNTY SHERIFF DEPT (2YTJMP)</t>
  </si>
  <si>
    <t>2YTJMP51857252</t>
  </si>
  <si>
    <t>DSEODSPEQ</t>
  </si>
  <si>
    <t>TOOL KIT, EXPLOSIVE ORDNANCE DISPOSAL</t>
  </si>
  <si>
    <t>PROVIDE EACH MEMBER OF PCSO HAZARDOUS DEVICE SQUAD WITH MAN-PORTABLE CARBONFIRE DISRUPTOR KIT.</t>
  </si>
  <si>
    <t>2YTJMP51787253</t>
  </si>
  <si>
    <t>EQUIPMENT WILL BE USED FOR LAND-CLEARING AND SITE PREP IN REMOTE RESCUE APPLICATIONS FOR PCSO SEARCH AND RESCUE TEAM.</t>
  </si>
  <si>
    <t>QUINCY POLICE DEPARTMENT (2YTJ1C)</t>
  </si>
  <si>
    <t>2YTJ1C51716269</t>
  </si>
  <si>
    <t>BICYCLE WILL BE USED BY THE AGENCY'S OFFICERS IN OUR ONSITE PRIVATE GYM, TO MAINTAIN THEIR FITNESS FOR DUTY.</t>
  </si>
  <si>
    <t>2YTJ1C51716271</t>
  </si>
  <si>
    <t>ELLIPTICAL MACHINE WILL BE USED BY THE AGENCY'S OFFICERS IN OUR ONSITE PRIVATE GYM, TO MAINTAIN THEIR FITNESS FOR DUTY.</t>
  </si>
  <si>
    <t>WI</t>
  </si>
  <si>
    <t>AUGUSTA POLICE DEPARTMENT (2YTRJ5)</t>
  </si>
  <si>
    <t>2YTRJ552481362</t>
  </si>
  <si>
    <t>THE AUGUSTA POLICE DEPARTMENT IS IN NEED OF A BOAT TO PATROL LAKE EAU CLAIRE, A POPULAR RECREATIONAL LAKE IN OUR JURISDICTION.</t>
  </si>
  <si>
    <t>2YTRJ552340139</t>
  </si>
  <si>
    <t>THE AUGUSTA POLICE DEPARTMENT IS IN NEED OF A NEW VEHICLE FOR OUR K-9 OFFICER. THIS VEHICLE APPEARS TO ALREADY BE OUTFITTED FOR K-9 USE.</t>
  </si>
  <si>
    <t>2YTRJ551927883</t>
  </si>
  <si>
    <t>THE AUGUSTA POLICE DEPARTMENT WOULD USE THIS TRAILER TO TRANSPORT RESCUE EQUIPMENT AND SUPPLIES WITH PREVIOUSLY REQUISITIONED ALL-TERRAIN VEHICLE.</t>
  </si>
  <si>
    <t>2YTRJ551927881</t>
  </si>
  <si>
    <t>2YTRJ551927886</t>
  </si>
  <si>
    <t>THE AUGUSTA POLICE DEPARTMENT WOULD USE THIS GENERATOR TO SUPPLY ELECTRICITY IN EMERGENCY SITUATIONS. MUCH OF OUR AREA IS POPULATED BY AMISH FAMILIES SO ELECTRICITY IS NOT ALWAYS READILY AVAILABLE.</t>
  </si>
  <si>
    <t>CLEAR LAKE POLICE DEPT (2YTN9C)</t>
  </si>
  <si>
    <t>2YTN9C51786568</t>
  </si>
  <si>
    <t>POUCH,MEDICAL AID,S</t>
  </si>
  <si>
    <t>CLEAR LAKE POLICE DEPARTMENT WILL ISSUE THESE TO OFFICERS TO STOCK WITH INDIVIDUAL MEDICAL SUPPLIES TO CARRY ON PATROL AND RESPOND TO EMERGENCIES AND RENDER AID TO THEMSELVES AND OTHERS.</t>
  </si>
  <si>
    <t>COLUMBUS POLICE DEPARTMENT (2YTCPL)</t>
  </si>
  <si>
    <t>2YTCPL52209457</t>
  </si>
  <si>
    <t>THE COLUMBUS POLICE DEPARTMENT WILL USE THIS UTV TO ASSIST DURING SEARCH AND RESCUE OPERATIONS IN RURAL AREA AND TO ACCESS AREAS EFFECTED BY NATURAL DISASTERS THAT ARE OTHERWISE INACCESSIBLE BY VEHICLE</t>
  </si>
  <si>
    <t>DOJ/DEA WEST MILWAUKEE (2YTRTP)</t>
  </si>
  <si>
    <t>2YTRTP52340656</t>
  </si>
  <si>
    <t>THE DEA IS DEVELOPING A TACTICAL TEAM OF AGENTS THAT CAN SERVE SUBPOENAS TO AMERICANS WORST ACCUSED IN ALL TYPES OF ENVIRONMENTS AND CONDITIONS. THIS EQUIPMENT WILL GIVE THE AGENTS AN ADVANTAGE TO BETTER ENABLE THEM TO ALL COME HOME AT THE END OF THE DAY. LEA HAS CONFIRMED THE SITE HAS BEEN CONTACTED AND ACCEPTED CONDITION OF PROPERTY</t>
  </si>
  <si>
    <t>2YTRTP52209329</t>
  </si>
  <si>
    <t>DEA SPECIAL AGENTS RESPONSIBLE FOR EXECUTING STATE AND FEDERAL SEARCH WARRANTS IN ANY CONDITION, AND AT ANY TIME. THESE CHEM LIGHTS THAT WE ARE REQUESTING IS BEING MADE TO ENSURE THE SAFETY OF THE TACTICAL OPERATORS. LEA HAS CONFIRMED THE SITE HAS BEEN CONTACTED AND ACCEPTED CONDITION OF PROPERTY</t>
  </si>
  <si>
    <t>NORWALK POLICE DEPARTMENT (2YTQZD)</t>
  </si>
  <si>
    <t>2YTQZD52552129</t>
  </si>
  <si>
    <t>THE NORWALK POLICE DEPARTMENT WOULD USE THIS TO TRANSPORT AMMO AND SHOOTING TARGETS TO THE POLICE RANGE FOR QUALIFICATION RIFLE AND PISTOL SHOOTS.</t>
  </si>
  <si>
    <t>2YTQZD51292669</t>
  </si>
  <si>
    <t>NORWALK POLICE WILL USE THESE FOR EACH OFFICER IN THEIR SQAUD CARS</t>
  </si>
  <si>
    <t>OZAUKEE COUNTY SHERIFF OFFICE (2YT19J)</t>
  </si>
  <si>
    <t>2YT19J51786814</t>
  </si>
  <si>
    <t>OZAUKEE COUNTY SHERIFF'S OFFICE WILL USE THIS VEHICLE TO CONDUCT TACTICAL RESCUES DURING ARMED INCIDENTS AND FOR DISASTER RESPONSE.  IF AWARDED THIS VEHICLE, OZAUKEE SHERIFF'S OFFICE WILL TURN IN OUR PEACEKEEPER.</t>
  </si>
  <si>
    <t>WV</t>
  </si>
  <si>
    <t>BERKELEY COUNTY SHERIFF OFFICE (2YTN6M)</t>
  </si>
  <si>
    <t>2YTN6M52270425</t>
  </si>
  <si>
    <t>LADDER,AIRCRAFT MAI</t>
  </si>
  <si>
    <t>TO BE UTILIZED BY THE BERKELEY COUNTY SHERIFFS OFFICE FOR A LAW ENFORCEMENT PURPOSE.  THESE LADDERS CAN BE UTILIZED BY OUR CRIME SCENE TEAMS WHEN CONDUCTING FORENSIC EXAMINATIONS ON BIGGER VEHICLES OR WHEN PHOTOGRAPHING LARGER CRIME SCENES.  THESE CAN ALSO BE UTILIZED IN OUR MILITARY SURPLUS PROPERTY GARAGE TO MAINTAIN INVENTORY.</t>
  </si>
  <si>
    <t>2YTN6M52340420</t>
  </si>
  <si>
    <t>2YTN6M52340419</t>
  </si>
  <si>
    <t>2YTN6M52270421</t>
  </si>
  <si>
    <t>STEPLADDER</t>
  </si>
  <si>
    <t>2YTN6M52209503</t>
  </si>
  <si>
    <t>DSSERVRAK</t>
  </si>
  <si>
    <t>SERVER RACKING STANCHIONS</t>
  </si>
  <si>
    <t>TO BE UTILIZED BY THE BERKELEY COUNTY SHERIFF'S OFFICE FOR A LAW ENFORCEMENT PURPOSE.  THESE SERVER RACKS WILL BE USED BY OUR AGENCY FOR OUR SERVER ROOM TO HELP MANAGE OUR MULTIPLE SERVER UNITS.</t>
  </si>
  <si>
    <t>2YTN6M52209504</t>
  </si>
  <si>
    <t>TO BE UTILIZED BY THE BERKELEY COUNTY SHERIFF'S OFFICE FOR A LAW ENFORCEMENT PURPOSE.  THIS TABLE WILL BE UTILIZED IN OUR NEW DRONE TRAILER TO ASSIST OUR DEPUTIES WITH OUR DRONE PROGRAM.  WE WILL BE ABLE TO SET UP INSIDE THE TRAILER AND FLY OUR DRONES.</t>
  </si>
  <si>
    <t>2YTN6M52340418</t>
  </si>
  <si>
    <t>MOPPING OUTFIT,FLOOR</t>
  </si>
  <si>
    <t>OT</t>
  </si>
  <si>
    <t>TO BE UTILIZED BY THE BERKELEY COUNTY SHERIFFS OFFICE FOR A LAW ENFORCEMENT PURPOSE.  THESE MOP KITS WILL BE UTILIZED BY OUR DEPUTIES TO CLEAN THEIR OFFICES.   THESE MOP BUCKETS WOULD BE HELPFUL.</t>
  </si>
  <si>
    <t>WOOD COUNTY SHERIFF'S OFFICE (2YT03F)</t>
  </si>
  <si>
    <t>2YT03F52138890</t>
  </si>
  <si>
    <t>DSADPIODV</t>
  </si>
  <si>
    <t>ADP INPUT/OUTPUT AND STORAGE DEVICES</t>
  </si>
  <si>
    <t>THESE HIGH AVAILABILITY STORAGE SERVERS WILL BE USED BY LAW ENFORCEMENT OFFICERS OF THE SHERIFF'S OFFICE TO STORE BODY CAM AND IN-CAR CAMERA SYSTEMS VIDEO FOR LATER USE IN COURT HEARINGS.</t>
  </si>
  <si>
    <t>WY</t>
  </si>
  <si>
    <t>RIVERTON PD (2YTRSC)</t>
  </si>
  <si>
    <t>2YTRSC52340334</t>
  </si>
  <si>
    <t>THIS VEHICLE WOULD BE USED AS A POLICE VEHICLE FOR LE USE.</t>
  </si>
  <si>
    <t>REQUISITION MANUALLY SUBMITTED PER OPORD 25-004 DLA EXECUTION ORDER TO SUPPORT OPERATION SOUTHERN GUARD.</t>
  </si>
  <si>
    <t>RTD resubmission due to DLA site inventory adjustment; this omitted customer origianal justification</t>
  </si>
  <si>
    <t>REQUEST OF A COMPUTER SYSTEM FOR FBI CLEVELAND. THE LAPTOP WOULD BE USED FOR FIELD OPERATIONS AND FOR OFFICIAL LE USE ONLY. ITEM WOULD BE ISSUED AND ASSIGNED TO ACTIVE AGENTS, ANALYSTS AND SPECIALISTS FOR ON-SITE MISSIONS. INCREASING OP TEMPO AND DAILY ACTIVITIES REQUIRE THE USE OF DIGITAL TECHNOLOGY AND MOBILE UNITS.</t>
  </si>
  <si>
    <t>2YTMRH52270447</t>
  </si>
  <si>
    <t>UNKNOWN</t>
  </si>
  <si>
    <t xml:space="preserve">
Sales Order #: 2263572113
RTD Screening Code: DOD
Reason for Rejection: YH</t>
  </si>
  <si>
    <t>THIS ITEM WILL BE USED BY THE KNOX COUNTY SHERIFFS OFFICE TO HELP SUPPORT OUR FLET OF LESO AIRCRAFT</t>
  </si>
  <si>
    <t>GENERATOR,TACHOMETE</t>
  </si>
  <si>
    <t>2YTF9450597868</t>
  </si>
  <si>
    <t>SYSTEM</t>
  </si>
  <si>
    <t xml:space="preserve">
Sales Order #: 2263272998
Reason for Rejection: YH</t>
  </si>
  <si>
    <t>THE MONROE COUNTY SHERIFFS DEPARTMENT IS REQUESTING THIS FOR OUR MARINE SEARCH AND RESCUE TEAM. THIS WILL BE KEPT FOR DEPUTIES TO USE WHEN NEEDING TO GET IN SMALL CANALS OR SWALLOW AREAS WHEN WORKING MISSIONS.</t>
  </si>
  <si>
    <t>2YTHWY50808513</t>
  </si>
  <si>
    <t xml:space="preserve">
Sales Order #: 2264660149
RTD Screening Code: DOD
Reason for Rejection: YH</t>
  </si>
  <si>
    <t>BB-2590 BATTERIES.  WILL BE USED BY SHERIFF'S OFFICE DEPUTIES. THESE BATTERIES POWER ROBOTS AND OTHER EQUIPMENT USED BY BOMB TECHNICIANS.</t>
  </si>
  <si>
    <t>BATTERY,STORAGE</t>
  </si>
  <si>
    <t>2YTF7N50879120</t>
  </si>
  <si>
    <t xml:space="preserve">
Sales Order #: 2268814894
RTD Screening Code: DOD
Reason for Rejection: YG</t>
  </si>
  <si>
    <t xml:space="preserve">
TPD REQUEST THIS EQUIPMENT TO USE IN REPAIRING, UPDATING, MODIFYING OUR POLICE DEPARTMENT AND POLICE TRAINING FACILITIES GROUNDS TO KEEP IT IN THE BEST CONDITION POSSIBLE FOR TRAINING RESPONDING TO TERRORIST, AND MASS CASUALTY EVENTS AND CALLS FOR SERVICE.
</t>
  </si>
  <si>
    <t>2YTL1551504636</t>
  </si>
  <si>
    <t xml:space="preserve">
Sales Order #: 2264202663
RTD Screening Code: DOD
Reason for Rejection: YG</t>
  </si>
  <si>
    <t>FOR USE BY ON DUTY OFFICERS OF THE LANSING POLICE DEPARTMENT FOR HEARING PROTECTION AND ASSIST IN RADIO TRANSMISSION.</t>
  </si>
  <si>
    <t>2YTPER51645578</t>
  </si>
  <si>
    <t xml:space="preserve">
Sales Order #: 2269385378
RTD Screening Code: DOD
Reason for Rejection: YH</t>
  </si>
  <si>
    <t>THE WEST POLICE DEPARTMENT WILL UTILIZE THIS VEHICLE FOR LAW ENFORCEMENT PURPOSES ONLY. THIS PROPERTY WILL ENHANCE THE ABILITIES OF WEST POLICE OFFICERS TO RESPOND TO EMERGENCIES AND PERFORM DAILY PROTECTIVE SERVICES THROUGHOUT THE CITY OF WEST.</t>
  </si>
  <si>
    <t>2YTPJJ51716019</t>
  </si>
  <si>
    <t xml:space="preserve">
Sales Order #: 2270258347
RTD Screening Code: DOD
Reason for Rejection: YG</t>
  </si>
  <si>
    <t>THE SARDINIA POLICE DEPARTMENT IS REQUESTING RESOURCES TO ASSIST AND SUSTAIN OPERATIONS DURING CRITICAL SITUATIONS. WITH LIMITED RESOURCES AND NO SUPPLEMENTARY FUNDING, RECEIPT OF REQUESTED ITEMS WOULD REDUCE THE ADDITIONAL COST THAT SARDINIA POLICE DEPARTMENT WOULD OCCUR WITH PURCHASING RESOURCES THAT WILL SUPPORT AND CAN BE USED FOR MOBILE TACTICAL OPERATIONS CENTER OR HOUSING UNIT FOR OFFICERS AS A FIRST RESPONDER DURING CRITICAL SITUATIONS.</t>
  </si>
  <si>
    <t>RECREATIONAL CAMPER, TRAILER</t>
  </si>
  <si>
    <t>DSRVCAMPR</t>
  </si>
  <si>
    <t>2YTKSE51716924</t>
  </si>
  <si>
    <t>Requested DTID is no longer in the inventory.</t>
  </si>
  <si>
    <t>WASHINGTON COUNTY SHERIFF'S OFFICE IS A LAW ENFORCEMENT AGENCY IN THE STATE OF VIRGINIA. OUR AGENCY COULD USE THIS BACKHOE FOR HAULING GRAVEL AND DIRT AND DIGGING. THIS BACK HOE WILL BE USE BY LAW ENFORCEMENT PERSONNEL.</t>
  </si>
  <si>
    <t>2YTM9Q51927486</t>
  </si>
  <si>
    <t>THE SHERIDAN POLICE DEPARTMENT WILL USE THE BACKHOE TO MAINTENANCE THE BUILDING AND GROUNDS OF OUR TRAINING CENTER.  IT WILL ALSO BE USED TO MAINTAIN OUR SHOOTING RANGE AND BACKSTOP.  OUR OFFICER TRAIN FOR ACTIVE KILLER INCIDENTS, NARCOTIC INVESTIGATIONS, SEARCH AND RESCUE OPERATIONS, AND TERRORISM INCIDENTS AT THESE LOCATIONS.  THIS WILL BE USED FOR LAW ENFORCEMENT PURPOSES ONLY.</t>
  </si>
  <si>
    <t>2YTK1451927446</t>
  </si>
  <si>
    <t xml:space="preserve">
Sales Order #: 2271040445
RTD Screening Code: DOD
Reason for Rejection: Y9</t>
  </si>
  <si>
    <t>THE MT. ORAB POLICE DEPARTMENT WOULD LIKE TO ACQUIRE THIS BACKHOE. WE CURRENTLY HAVE PROJECTS TO EXPAND OUR PARKING LOT AT OUR IMPOUND AND NEED A BACKHOE TO DIG OUT THE DRAINAGE TO PUT IN A PIPE. THIS MACHINE WOULD ALLOW US TO DO THIS IN HOUSE AND NOT HAVE TO OUTSOURCE THIS PROJECT. THIS WOULD ALSO HELP WITH MANY OF OUR OUTDOOR RANGE PROJECTS IN THE FUTURE.</t>
  </si>
  <si>
    <t>2YTH5S51927527</t>
  </si>
  <si>
    <t>THIS WOULD BE USED BY LAW ENFORCEMENT PERSONNEL AT THE JEFFERSON COUNTY SHERIFF'S OFFICE TO CONSTRUCT AND MAINTAIN A K9 KENNEL AND TRAINING FACILITY. THIS FACILITY IS TO BOARD AND TRAIN CURRENT AND FUTURE NARCOTICS, EXPLOSIVE, TRACKING, AND CADAVER K9</t>
  </si>
  <si>
    <t>2YTFX451927481</t>
  </si>
  <si>
    <t xml:space="preserve">
Sales Order #: 2270903052
RTD Screening Code: DOD
Reason for Rejection: Y9</t>
  </si>
  <si>
    <t>THE HOWELL COUNTY SHERIFF'S OFFICE IS A LAW ENFORCEMENT AGENCY. THE REQUESTED BACKHOE WOULD BE USED FOR ROUTINE PROPERTY MAINTENANCE AND CONSTRUCTION TASKS AT THE HOWELL COUNTY SHERIFF OFFICE. IT WOULD ALSO BE USED DURING EMERGENCIES LIKE MAN MADE AND NATURAL DISASTERS, AND OTHER CRISES. THIS TRACTOR WOULD ALSO BE USED TO RECOVER STRANDED VEHICLES, CLEAR DEBRIS AND OTHER EMERGENT TASKS.</t>
  </si>
  <si>
    <t>2YTFKX51927459</t>
  </si>
  <si>
    <t xml:space="preserve">
Sales Order #: 2271040646
RTD Screening Code: DOD
Reason for Rejection: Y9</t>
  </si>
  <si>
    <t>THE FULTON COUNTY SHERIFFS OFFICE IS REQUESTING THIS ITEM SO WE CAN UTILIZE IT TO EXCAVATE THE AREA FOR OUR NEW BUILDING WE ARE PREPARING TO BUILD. THIS WILL ALSO BE USED TO BUILD AND MAINTAIN THE OFFICE SHOOTING RANGE AND TRAINING GROUNDS.</t>
  </si>
  <si>
    <t>2YTEED51927438</t>
  </si>
  <si>
    <t xml:space="preserve">
Sales Order #: 2271040636
RTD Screening Code: DOD
Reason for Rejection: Y9</t>
  </si>
  <si>
    <t>THE BRISTOL TENNESSEE POLICE DEPARTMENT WOULD USE THIS EQUIPMENT TO HELP CLEAR AREAS WHERE PEOPLE ARE EFFECTED FROM SEVERE STORMS OR NATURAL DISASTERS. THE BASE STATES THIS EQUIPMENT RUNS AND IS OPERATIONAL. THIS EQUIPMENT IS USED FOR DIFFERENT PURPOSES THAN WHAT HAS BEEN PUT IN FOR.</t>
  </si>
  <si>
    <t>2YTBJQ51927543</t>
  </si>
  <si>
    <t>CAMERA,RECONNAISSANCE SYSTEM</t>
  </si>
  <si>
    <t>2YTMPA51927583</t>
  </si>
  <si>
    <t xml:space="preserve">
Sales Order #: 2271040633
RTD Screening Code: DOD
Reason for Rejection: Y9</t>
  </si>
  <si>
    <t>THE WAYNE COUNTY SHERIFF'S OFFICE WOULD LIKE TO REQUEST THIS ITEM. THE EXCAVATOR WILL BE USED IN THE PROCESS OF UPGRADING, BUILDING, AND MAINTAINING THE FIREARMS RANGE. THE RANGE IS AVAILABLE FOR USE BY ALL COUNTY EMPLOYEES, AND LAW ENFORCEMENT ENTITIES. PLANS FOR UPGRADES TO THE RANGE INCLUDE THE MOVING AND IMPROVEMENT OF THE BACKSTOP. THE SPREADING OF GROUND ASPHALT TO CREATE A SURFACE TO SAFELY TRAIN ON, INCLUDING A 300-YARD PAD TO SHOOT AT DISTANCE. WE WOULD ALSO LIKE TO ADD SOME DRAINAGE.</t>
  </si>
  <si>
    <t>2YTNDR51927611</t>
  </si>
  <si>
    <t>THE TEHAMA COUNTY SHERIFF'S OFFICE WILL USE CONTAINER, CARGO TO STORE DEPARTMENT SUPPLIES AND EQUIPMENT TO INCLUDE DRUG INTERDICTION TOOLS, DISASTER RESPONSE SUPPLIES AND EQUIPMENT.</t>
  </si>
  <si>
    <t>CONTAINER,CARGO</t>
  </si>
  <si>
    <t>2YTLQ751927657</t>
  </si>
  <si>
    <t>2YTLQ751927656</t>
  </si>
  <si>
    <t xml:space="preserve">
Sales Order #: 2271056627
RTD Screening Code: DOD
Reason for Rejection: BQ</t>
  </si>
  <si>
    <t>THIS WILL BE ISSUED TO ALL PLACER COUNTY SHERIFF DEPUTIES IN PATROL TO HOLD MEDICAL GEAR. THE GEAR WILL BE USED TO HELP PROVIDE MEDICAL AID.</t>
  </si>
  <si>
    <t>BAG,COMBAT CASUALTY</t>
  </si>
  <si>
    <t>2YTJPN51927735</t>
  </si>
  <si>
    <t>PLACER COUNTY SHERIFF OFFICE (2YTJPN)</t>
  </si>
  <si>
    <t xml:space="preserve">
Sales Order #: 2271121731
RTD Screening Code: DOD
Reason for Rejection: BQ</t>
  </si>
  <si>
    <t>2YTJPN51927734</t>
  </si>
  <si>
    <t xml:space="preserve">
Sales Order #: 2259922574
RTD Screening Code: DOD
Reason for Rejection: YH</t>
  </si>
  <si>
    <t>TRIMMER</t>
  </si>
  <si>
    <t>DSTRIMMER</t>
  </si>
  <si>
    <t>2YTRGK5164JG02</t>
  </si>
  <si>
    <t xml:space="preserve">
Sales Order #: 2270683019
RTD Screening Code: DOD
Reason for Rejection: Y9</t>
  </si>
  <si>
    <t>THE TEHAMA COUNTY SHERIFF'S OFFICE WILL USE CREEPER, MECHANIC'S AS TOOLS FOR DEPUTIES TO DO MAINTENANCE AND REPAIRS ON PATROL BOATS, TRAILERS AND SWAT VEHICLES USED FOR EMERGENCY RESPONSE.</t>
  </si>
  <si>
    <t>2YTLQ751857257</t>
  </si>
  <si>
    <t>STORAGE CONTAINER WILL BE ISSUED TO A USBP DUTY SATION FOR BATTERY STORAGE AND PREVENTATIVE MAINTENANCE.</t>
  </si>
  <si>
    <t>2YTMDH51857645</t>
  </si>
  <si>
    <t>Requisition Canceled.</t>
  </si>
  <si>
    <t>THE SARDINIA POLICE DEPARTMENT IS REQUESTING RESOURCES ITEMS FOR THE POLICE TRAINING DEPARTMENT. WITH LIMITED AND NO ADDITIONAL FUNDING RESOURCES FOR ITEMS NEEDED TO BUILD AND MAINTAIN A POLICE DEPARTMENT FIREARM QUALIFYING RANGE. ADDITIONAL RESOURCES ARE NEEDED FOR MOVING DIRT AROUND THE RANGE, MOVING EQUIPMENT AND ROUTINE MAINTENANCE THAT WOULD REDUCE THE OCCURRED COST FOR SARDINIA POLICE DEPARTMENT TO CONSTRUCT AND MAINTAIN A POLICE DEPARTMENT QUALIFYING RANGE.</t>
  </si>
  <si>
    <t>2YTKSE51927780</t>
  </si>
  <si>
    <t xml:space="preserve">
Sales Order #: 2269111367
RTD Screening Code: DOD
Reason for Rejection: YH</t>
  </si>
  <si>
    <t>PA EQUIPMENT FOR USE BY ECSO DEPUTIES DURING OUTDOOR OR LARGE SCALE TRAINING EVENTS</t>
  </si>
  <si>
    <t>2YTDTZ51505460</t>
  </si>
  <si>
    <t xml:space="preserve">
Sales Order #: 2269111371
RTD Screening Code: DOD
Reason for Rejection: YH</t>
  </si>
  <si>
    <t>2YTDTZ51505459</t>
  </si>
  <si>
    <t xml:space="preserve">
Sales Order #: 2268581240
RTD Screening Code: DOD
Reason for Rejection: YH</t>
  </si>
  <si>
    <t>WASHINGTON COUNTY SHERIFF'S OFFICE IS A LAW ENFORCEMENT AGENCY IN THE STATE OF VIRGINIA. OUR AGENCY COULD USE THIS PICK-UP TRUCK FOR TRANSPORTING PERSONNEL AND EQUIPMENT.</t>
  </si>
  <si>
    <t>2YTM9Q51645608</t>
  </si>
  <si>
    <t xml:space="preserve">
Sales Order #: 2267458876
RTD Screening Code: DOD
Reason for Rejection: YG</t>
  </si>
  <si>
    <t>WASHINGTON COUNTY SHERIFF'S OFFICE IS A LAW ENFORCEMENT AGENCY IN THE STATE OF VIRGINIA. OUR AGENCY COULD USE THIS FRONT IN LOADER FOR CLEARING A HIGHWAY IN EMERGENCY SITUATIONS IN A DISASTER. THIS FRONT IN LOADER WILL BE USE BY LAW ENFORCEMENT PERSONNEL.</t>
  </si>
  <si>
    <t>2YTM9Q51716096</t>
  </si>
  <si>
    <t xml:space="preserve">
Sales Order #: 2269717144
RTD Screening Code: GSA
Reason for Rejection: YG</t>
  </si>
  <si>
    <t>CCSO, WOULD LIKE TO REQUEST THESE LITTERS FOR USE BY OUR PERSONAL IN THE EVENT OF A MASS CAUSALITY EVENT OR THE NEED TO MOVE INJURED PERSON FROM A UNSAFE ENVIRONMENTS. THESE LITTERS WOULD BE STORIED IN STRATEGIC AREAS AND VEHICLES.
THANK YOU</t>
  </si>
  <si>
    <t>2YTC2B51716135</t>
  </si>
  <si>
    <t xml:space="preserve">
Sales Order #: 2269849518
RTD Screening Code: DOD
Reason for Rejection: YH</t>
  </si>
  <si>
    <t>THESE ITEMS WOULD BE USED BY THE ORANGE COUNTY SHERIFF'S DEPARTMENT. THESE VEHICLES WOULD BE ISSUED TO OUR PATROL DIVISIONS THAT POLICE BEACH COMMUNITIES OR RURAL OFF HIGHWAY AREAS. THE VEHICLES COULD BE USED AS ENFORCEMENT VEHICLES OR SUPPORT VEHICLES FOR AREAS THAT MAY NOT BE ACCESSIBLE BY PATROL CARS OR BY FOOT PATROLS</t>
  </si>
  <si>
    <t>2YT14Z51716189</t>
  </si>
  <si>
    <t xml:space="preserve">
Sales Order #: 2271113915
RTD Screening Code: DOD
Reason for Rejection: Y9</t>
  </si>
  <si>
    <t>FOR LAW ENFORCEMENT USE ONLY. THE WEST POLICE DEPARTMENT WILL USE THIS VEHICLE AS A PATROL VEHICLE TO ENHANCE WEST POLICE OFFICER'S ABILITIES DURING DAILY AND OR SPECIAL EMERGENCY RESPONSE EVENTS.</t>
  </si>
  <si>
    <t>2YTPJJ51927474</t>
  </si>
  <si>
    <t xml:space="preserve">
Sales Order #: 2270940604
RTD Screening Code: DOD
Reason for Rejection: Y9</t>
  </si>
  <si>
    <t>THE HOWELL COUNTY SHERIFF'S OFFICE IS A LAW ENFORCEMENT AGENCY. HCSO WILL USE THIS TRUCK FOR THE EMERGENCY MANAGEMENT DIRECTOR. THIS TRUCK WILL BE UTILIZED TO PULL MULTIPLE TRAILERS FOR EMERGENCY RESPONSE. THESE TRAILERS INCLUDE A HAM RADIO COMMUNICATIONS TRAILER, TRAILERS WITH RESPONSE EQUIPMENT LIKE SKIDSTEERS AND SIDE BY SIDES, TRUCK WILL ALSO SERVE AS A BACKUP K9 VEHICLE.</t>
  </si>
  <si>
    <t>2YTFKX51927462</t>
  </si>
  <si>
    <t xml:space="preserve">
Sales Order #: 2270896702
RTD Screening Code: DOD
Reason for Rejection: Y9</t>
  </si>
  <si>
    <t>DALE COUNTY SHERIFF'S OFFICE IS REQUESTING THIS VEHICLE FOR OUR K9 DEPUTIES TO USE ON PATROL .IF REPAIRABLE IT WILL BE USED FOR PATROL FUNCTIONS, SEARCH AND RESCUE, DRUG INTERDICTION, AND TRAFFIC ENFORCEMENT.</t>
  </si>
  <si>
    <t>2YTC2851927441</t>
  </si>
  <si>
    <t>DALE COUNTY SHERIFF OFFICE (2YTC28)</t>
  </si>
  <si>
    <t xml:space="preserve">
Sales Order #: 2270896704
RTD Screening Code: DOD
Reason for Rejection: Y9</t>
  </si>
  <si>
    <t>THE BOOKCASES WILL BE USED BY THE ARP POLICE DEPARTMENT FOR LAW ENFORCEMENT PURPOSES ONLY BY PROVIDING A WAY TO SAFETY SECURE AND STORE OFFICIAL DOCUMENTS.</t>
  </si>
  <si>
    <t>BOOKCASE</t>
  </si>
  <si>
    <t>DSBOOKCA1</t>
  </si>
  <si>
    <t>2YTANX51837482</t>
  </si>
  <si>
    <t xml:space="preserve">
Sales Order #: 2271113925
RTD Screening Code: DOD
Reason for Rejection: Y9</t>
  </si>
  <si>
    <t>THE FILE CABINETS WILL BE USED BY THE ARP POLICE DEPARTMENT FOR LAW ENFORCEMENT PURPOSES ONLY BY PROVIDING A WAY TO SAFETY SECURE AND STORE OFFICIAL DOCUMENTS.</t>
  </si>
  <si>
    <t>2YTANX51837480</t>
  </si>
  <si>
    <t xml:space="preserve">
Sales Order #: 2270896698
RTD Screening Code: DOD
Reason for Rejection: Y9</t>
  </si>
  <si>
    <t>THIS EXERCISE EQUIPMENT WILL BE USED BY EVERY HENDERSON POLICE DEPARTMENT OFFICER FOR STRENGTH AND CONDITIONING TRAINING. ENSURING THAT OUR OFFICERS ARE IN PEAK PHYSICAL PERFORMANCE TO BETTER SERVE THE CITIZENS OF OUR COMMUNITY.</t>
  </si>
  <si>
    <t>2YTFAN51927661</t>
  </si>
  <si>
    <t>HENDERSON POLICE DEPT (2YTFAN)</t>
  </si>
  <si>
    <t xml:space="preserve">
Sales Order #: 2254768102
RTD Screening Code: DOD
Reason for Rejection: Y9</t>
  </si>
  <si>
    <t>EDGECOMBE COUNTY SHERIFFS OFFICE NEEDS THESE STRAP CUTTERS FOR USE DURING FLOODING AND EMERGENCY SITUATIONS.</t>
  </si>
  <si>
    <t>2YTDM751857180</t>
  </si>
  <si>
    <t>INDIVIDUAL PROTECTIVE EQUIPMENT</t>
  </si>
  <si>
    <t>HELMET,SNIPER</t>
  </si>
  <si>
    <t>2YTHWR51927569</t>
  </si>
  <si>
    <t xml:space="preserve">
Sales Order #: 2271136500
RTD Screening Code: DOD
Reason for Rejection: Y9</t>
  </si>
  <si>
    <t>WISE POLICE DEPARTMENT WILL UTILIZE THE SIGHT THERMAL DTID W91EKJ41796634 TO DETECT HEAT SIGNATURES, ALLOWING OFFICERS TO LOCATE SUSPECTS OR MISSING PERSONS IN DARKNESS, SMOKE, OR COVER. IT WILL BE USED IN SEARCH OPERATIONS, SURVEILLANCE, AND TACTICAL RESPONSES TO IMPROVE SAFETY AND EFFECTIVENESS.</t>
  </si>
  <si>
    <t>SIGHT,THERMAL</t>
  </si>
  <si>
    <t>2YTNUT51927749</t>
  </si>
  <si>
    <t>WISE POLICE DEPT (2YTNUT)</t>
  </si>
  <si>
    <t>THIS ITEM WOULD ASSIST THE KINSEY POLICE DEPARTMENT IN BUILDING OUR FIRING RANGE AND IF NEEDED IN STORMS TO RENDER AID TO CITIZENS  IN NEED AND CLEARING ROADS TO GET TO THEM</t>
  </si>
  <si>
    <t>2YTRAR51927588</t>
  </si>
  <si>
    <t xml:space="preserve">
Sales Order #: 2270607328
RTD Screening Code: DOD
Reason for Rejection: Y9</t>
  </si>
  <si>
    <t>WILL BE USED BY POLICE FOR LAW ENFORCMENT PURPOSE.  WILL BE USED FOR HIGH WATER RESCUE OF CIVILIANS IN FLOODED AREAS OF OUR TOWN.</t>
  </si>
  <si>
    <t>2YTJXJ51857104</t>
  </si>
  <si>
    <t xml:space="preserve">
Sales Order #: 2270604160
RTD Screening Code: DOD
Reason for Rejection: Y9</t>
  </si>
  <si>
    <t>THE BRISTOL TENNESSEE POLICE DEPARTMENT WOULD UTILIZE THIS VEHICLE AS A CRIME SCENE RESPONSE VEHICLE RESPONDING TO MAJOR VIOLENT CRIME SCENES TO PROVIDE THE NECESSARY EQUIPMENT FOR EVIDENCE PROCESSING.</t>
  </si>
  <si>
    <t>2YTBJQ51857138</t>
  </si>
  <si>
    <t xml:space="preserve">
Sales Order #: 2270683014
RTD Screening Code: DOD
Reason for Rejection: Y9</t>
  </si>
  <si>
    <t>THE WILLACOOCHEE POLICE DEPARTMENT REQUIRES A TRACTOR TO BE USED BY POLICE DEPARTMENT PERSONNEL TO DEVELOP AND MAINTAIN A FIREARM RANGE FOR POLICE TRAINING.</t>
  </si>
  <si>
    <t>2YTNPQ51857264</t>
  </si>
  <si>
    <t xml:space="preserve">
Sales Order #: 2270604159
RTD Screening Code: DOD
Reason for Rejection: Y9</t>
  </si>
  <si>
    <t>THE OSAGE COUNTY SHERIFF'S OFFICE WILL USE THIS VEHICLE IN OUR UNDERCOVER UNIT TO INTERDICT DRUG AND CRIME IN OUR COUNTY. AS A UNDER MARKED UNIT, IT WILL MAKE IT EASIER FOR US TO IDENTIFY CRIME.</t>
  </si>
  <si>
    <t>2YT16P51857174</t>
  </si>
  <si>
    <t xml:space="preserve">
Sales Order #: 2256418888
RTD Screening Code: DOD
Reason for Rejection: Y9</t>
  </si>
  <si>
    <t>SO OFFICERS OF THE MEIGS COUNTY SHERIFF'S OFFICE CAN PUT THEIR ENTRY GEAR IN FOR QUICK RESPONSE FOR ACTIVE SHOOTER, SCHOOL SHOOTINGS AND ANY OTHER INCIDENT THAT WOULD REQUIRE SPECIALIZED EQUIPMENT.  WE WOULD ALSO BE ABLE TO PULL OUR BOAT  IN CASE THERE IS AN ISSUE AT 1 OF THE 2 DAMS ON THE RIVER WHERE WE HAVE JURISDICTION ON.</t>
  </si>
  <si>
    <t>2YTHJZ51857161</t>
  </si>
  <si>
    <t>LEVEL PLAINS POLICE DEPT WOULD UTILIZE TRACTOR IN DEVELOPING NEW FIRING RANGE.</t>
  </si>
  <si>
    <t>2YTRNR51857236</t>
  </si>
  <si>
    <t>LEVEL PLAINS POLICE DEPT WOULD UTILIZE TO HAUL AND TOW LARGE 1033 ITEMS AWARDED THROUGH THE LESO PROGRAM</t>
  </si>
  <si>
    <t>2YTRNR51857190</t>
  </si>
  <si>
    <t xml:space="preserve">
Sales Order #: 2270903045
RTD Screening Code: DOD
Reason for Rejection: Y9</t>
  </si>
  <si>
    <t>LEVEL PLAINS POLICE DEPT WOULD UTILIZE STORAGE FOR POLICE EQUIPMENT AND OVERFLOW OF TRAINING ITEMS</t>
  </si>
  <si>
    <t>2YTRNR51857185</t>
  </si>
  <si>
    <t xml:space="preserve">
Sales Order #: 2254768104
RTD Screening Code: DOD
Reason for Rejection: Y9</t>
  </si>
  <si>
    <t>EDGECOMBE COUNTY SHERIFFS OFFICE NEEDS THESE TOURNIQUETS FOR THE USE DURING COUNTER DRUG OPERATIONS FOR MEDICAL TREATMENT DURING THESE EMERGENCY OPERATIONS.</t>
  </si>
  <si>
    <t>2YTDM751857182</t>
  </si>
  <si>
    <t>AGENT SAFETY IN THE EXECUTION OF LAW ENFORCEMENT ACTIVITIES.</t>
  </si>
  <si>
    <t>2YTMNK51857261</t>
  </si>
  <si>
    <t>DOJ/DEA VA ARLINGTON (2YTMNK)</t>
  </si>
  <si>
    <t xml:space="preserve">
Sales Order #: 2270683023
RTD Screening Code: DOD
Reason for Rejection: Y9</t>
  </si>
  <si>
    <t>TO BE USED BY DANVILLE POLICE AND TACTICAL OFFICERS TO TRANSPORT, STORE AND CONTAIN EQUIPMENT USED ON TACTICAL OPERATIONS, TRAINING AND REMOTE INCIDENTS.</t>
  </si>
  <si>
    <t>2YTC4G51857251</t>
  </si>
  <si>
    <t>FOR USE ON DUTY RIFLES TO BE USED DURING LAW ENFORCEMENT OPERATIONS AND TRAINING.</t>
  </si>
  <si>
    <t>2YTMNK51857288</t>
  </si>
  <si>
    <t>UTILIZED BY DEA SRT MEMBERS DURING TACTICAL OPERATIONS IN ORDER TO INCREASE AGENT AND OFFICER SAFETY.</t>
  </si>
  <si>
    <t>2YTQK951857303</t>
  </si>
  <si>
    <t>WILL BE UTILIZED BY DEA SRT MEMBERS DURING TACTICAL OPERATIONS IN ORDER TO INCREASE AGENT AND OFFICER SAFETY</t>
  </si>
  <si>
    <t>2YTQK951857300</t>
  </si>
  <si>
    <t xml:space="preserve">
Sales Order #: 2270687824
RTD Screening Code: DOD
Reason for Rejection: Y9</t>
  </si>
  <si>
    <t>THE ASHE COUNTY SHERIFF'S OFFICE REQUESTS THIS EQUIPMENT TO ASSIST US IN COUNTER-DRUG ENFORCEMENT. THESE TRIPODS WOULD BE USED IN PHOTOGRAPHY STATIONS TO PHOTOGRAPH EVIDENCE AND DOCUMENT SUSPECTS' IDENTIFYING FEATURES.</t>
  </si>
  <si>
    <t>2YTA0F51857282</t>
  </si>
  <si>
    <t xml:space="preserve">
Sales Order #: 2270687829
RTD Screening Code: DOD
Reason for Rejection: Y9</t>
  </si>
  <si>
    <t>THE ASHE COUNTY SHERIFF'S OFFICE REQUESTS THIS EQUIPMENT TO ASSIST US IN COUNTER-DRUG ENFORCEMENT. THESE LIGHTING KITS WOULD BE USED TO PHOTOGRAPH EVIDENCE AND DOCUMENT SUSPECTS' IDENTIFYING FEATURES.</t>
  </si>
  <si>
    <t>2YTA0F51857281</t>
  </si>
  <si>
    <t>OUR AGENCY CONDUCTS NIGHT OPERATIONS, INCLUDING MANHUNTS AND SRT DEPLOYMENTS, IN RURAL TERRAIN WITH LIMITED LIGHTING. IR LASER DEVICES ARE CRITICAL FOR TARGET IDENTIFICATION AND TEAM COORDINATION UNDER NIGHT VISION. THEY ENHANCE ACCURACY, REDUCE RISK OF BLUE-ON-BLUE, AND INCREASE OPERATIONAL SAFETY. BUDGET CONSTRAINTS PREVENT US FROM EQUIPPING RIFLES WITH THIS ESSENTIAL CAPABILITY. WE UTILIZE THE PROGRAM THROUGH NSW CRANE FOR NIGHT VISION, BUT HAVE NO LASERS TO GO WITH THEM.</t>
  </si>
  <si>
    <t>2YTFKS51857349</t>
  </si>
  <si>
    <t xml:space="preserve">
Sales Order #: 2271029811
RTD Screening Code: DOD
Reason for Rejection: Y9</t>
  </si>
  <si>
    <t>FREDERICK COUNTY SHERIFF'S OFFICE A LESO AGENCY THAT CAN USE THESE ITEMS TO ISSUE TO THE SEARCH AND RESCUE TEAM AND DIVE TEAM FOR OFFICERS TO USE FOR HYDRATION AND KEEP TRACK OF AMOUNT OF FLUIDS TAKEN IN DURING BREAKS ON CALLS FOR SERVICE FOR MISSING, DESPONDENT, INJURED PERSONS, AND DOWNED AIRCRAFT IN OPEN COUNTY AND MOUNTAINOUS TERRAIN.</t>
  </si>
  <si>
    <t>2YTEBY51857327</t>
  </si>
  <si>
    <t xml:space="preserve">
Sales Order #: 2270903049
RTD Screening Code: DOD
Reason for Rejection: Y9</t>
  </si>
  <si>
    <t>THIS WILL BE ISSUED TO OFFICERS WITH ADVANCED MEDICAL TRAINING FOR USE ON DUTY.</t>
  </si>
  <si>
    <t>2YTD9851857344</t>
  </si>
  <si>
    <t>FRANKFORT POLICE DEPARTMENT (2YTD98)</t>
  </si>
  <si>
    <t xml:space="preserve">
Sales Order #: 2271136481
RTD Screening Code: DOD
Reason for Rejection: Y9</t>
  </si>
  <si>
    <t>REQUESTING AGENCY HAS CONFIRMED WITH THE DLA DS LOCATION REGARDING THE LISTED ITEM CONDITION AND IS SATISFIED THAT THE ITEM REQUESTED IS OF OPERATIONAL AND OR SERVICEABLE CONDITION. TROUSERS WILL BE USED BY AGENCY PERSONNEL FOR LOAD CARRIAGE, UNIFORMITY AND PROTECTION DURING HIGH RISK PUBLIC SAFETY EVENTS SUCH AS SEARCH AND RESCUE AND COUNTER TERRORISM AND WILL AID IN COMFORT AND EFFICIENCY DURING PERTINENT JOB TASKS.</t>
  </si>
  <si>
    <t>2YTPUC51857424</t>
  </si>
  <si>
    <t xml:space="preserve">
Sales Order #: 2271136486
RTD Screening Code: DOD
Reason for Rejection: Y9</t>
  </si>
  <si>
    <t>2YTPUC51857420</t>
  </si>
  <si>
    <t xml:space="preserve">
Sales Order #: 2271040447
RTD Screening Code: DOD
Reason for Rejection: Y9</t>
  </si>
  <si>
    <t>CART WOULD BE USED FOR EMERGENCY OPERATIONS TO ASSIST IN SEARCH AND RESCUE IN THE EAST FORK STATE PARK, AND ALONG THE EAST FORK LITTLE MIAMI RIVER, WHERE NORMAL PATROL CARS CANNOT GET TO.  ALSO USED FOR COMMUNITY EVENTS.</t>
  </si>
  <si>
    <t>2YTNP751927519</t>
  </si>
  <si>
    <t xml:space="preserve">
Sales Order #: 2271113942
RTD Screening Code: DOD
Reason for Rejection: Y9</t>
  </si>
  <si>
    <t>WASHINGTON COUNTY SHERIFF'S OFFICE IS A LAW ENFORCEMENT AGENCY IN THE STATE OF VIRGINIA. OUR AGENCY COULD USE THESE ATV FOR PATROLING OFF ROAD DURING SEARCHES AND PATROLING TRAILS IN WASHINGTON COUNTY VIRGINIA. THESE ATV'S WILL BE USE BY LAW ENFORCEMENT PERSONAL.</t>
  </si>
  <si>
    <t>2YTM9Q51927476</t>
  </si>
  <si>
    <t xml:space="preserve">
Sales Order #: 2270896701
RTD Screening Code: DOD
Reason for Rejection: Y9</t>
  </si>
  <si>
    <t>THESE WOULD BE USED BY LAW ENFORCEMENT ON THE JEFFERSON COUNTY SHERIFF'S OFFICE K9 UNIT AND DIVE TEAM. THEY WOULD BE USED TO ACCESS RURAL AREAS FOR MISSING PERSONS, NARCOTICS INVESTIGATION, AND SUBJECTS THAT HAVE FLED PURSUIT</t>
  </si>
  <si>
    <t>2YTFX451927492</t>
  </si>
  <si>
    <t xml:space="preserve">
Sales Order #: 2270862197
RTD Screening Code: DOD
Reason for Rejection: Y9</t>
  </si>
  <si>
    <t>THE HOWELL COUNTY SHERIFF'S OFFICE IS A LAW ENFORCEMENT AGENCY. THESE VEHICLES WOULD FILL A NEED FOR OFF ROAD TRANSPORTATION DURING EMERGENCIES LIKE NATURAL DISASTERS, MISSING PERSONS CASES, FUGITIVE APPREHENSION, AND OTHER CRISES. HCSO PATROLS A 928 SQUARE MILE AREA INCLUDING OVER 50,000 ACRES OF US FORREST SERVICE LAND. THESE VEHICLES WOULD ENHANCE HCSO'S CAPABILITIES AND BENEFIT NOT ONLY HOWELL COUNTY BUT ALSO SURROUNDING AREAS RELYING ON HCSO FOR MUTUAL AID IN EMERGENCY RESPONSE.</t>
  </si>
  <si>
    <t>2YTFKX51927458</t>
  </si>
  <si>
    <t xml:space="preserve">
Sales Order #: 2271040650
RTD Screening Code: DOD
Reason for Rejection: Y9</t>
  </si>
  <si>
    <t>GENERAL PURPOSE UTV FOR USE BY DEPUTIES TO CONDUCT PATROLLING AROUND MASS GATHERINGS SUCH AS NFL OR NHL GAMES, WOODLAND SEARCH AND RESCUE, OR OFF SITE TRAINING.</t>
  </si>
  <si>
    <t>2YTDTZ51927433</t>
  </si>
  <si>
    <t>FOR USE BY LEA IN TACTICAL MEDICINE APPLICATIONS</t>
  </si>
  <si>
    <t>DRESSING,PRESSURE P</t>
  </si>
  <si>
    <t>2YTMPA51857838</t>
  </si>
  <si>
    <t>2YTMPA51857837</t>
  </si>
  <si>
    <t>2YTMPA51857836</t>
  </si>
  <si>
    <t>2YTMPA51857835</t>
  </si>
  <si>
    <t>TO BE USED FOR US MARSHALS FUGITIVE TASK FORCE</t>
  </si>
  <si>
    <t>SIGHT,BORE,OPTICAL</t>
  </si>
  <si>
    <t>2YTMU151857254</t>
  </si>
  <si>
    <t>HELMET,GROUND TROOP</t>
  </si>
  <si>
    <t>2YTHWR51857572</t>
  </si>
  <si>
    <t xml:space="preserve">I HAVE CONTACTED THE SITE AND CONFIRM AND ACCEPT THE CONDITION CODE OF THE ITEMS.  FEDERAL SCREENER FOR DIVISION WITH 200 LAW ENFORCEMENT AGENTS TO INCLUDE 19 SWAT OPERATORS.  MOST OPERATORS ARE USING SINGLE TUBE NVGS THAT ARE OUT OF WARRANTY.  DUE TO A MAJORITY OF HIGH RISK OPERATIONS IN LOW LIGHT CONDITIONS IT IS CRITICAL TO HAVE BETTER EQUIPMENT FOR OFFICER SAFETY.  THERE HAS BEEN NO FUNDING FOR NIGHT VISION OPTICS NOR HAS THERE BEEN FOR YEARS.  
</t>
  </si>
  <si>
    <t>2YTQY151857640</t>
  </si>
  <si>
    <t>2YTQY151857639</t>
  </si>
  <si>
    <t>2YTQY151857638</t>
  </si>
  <si>
    <t>2YTQY151857637</t>
  </si>
  <si>
    <t>2YTQY151857636</t>
  </si>
  <si>
    <t>DEA SPECIAL RESPONSE TEAM SRT IS A HIGHLY TRAINED CADRE OF DEA SPECIAL AGENTS RESPONSIBLE FOR EXECUTING STATE AND FEDERAL SEARCH WARRANTS IN ANY CONDITION, AND AT ANY TIME. THIS EQUIPMENT REQUEST IS BEING MADE TO ENSURE THE SAFETY OF THE TACTICAL OPERATORS. LEA HAS CONFIRMED SITE HAS BEEN CONTACTED AND ACCEPT CONDITION OF PROPERTY</t>
  </si>
  <si>
    <t>2YTRTP51857717</t>
  </si>
  <si>
    <t xml:space="preserve">
Sales Order #: 2245430065
RTD Screening Code: GSA
Reason for Rejection: YE</t>
  </si>
  <si>
    <t>THE FULTON COUNTY SHERIFFS OFFICE IS REQUESTING THESE GLOVES SO DEPUTIES CAN USE THEM DURING PATROL OPERATIONS. THESE GLOVES ALLOW DEPUTIES TO AVOID EXPOSURE TO BLOOD, NARCOTICS, AND CONTAMINATION TO CRIME SCENES.</t>
  </si>
  <si>
    <t>2YTEED43200811</t>
  </si>
  <si>
    <t xml:space="preserve">
Sales Order #: 2256123966
RTD Screening Code: GSA
Reason for Rejection: YH</t>
  </si>
  <si>
    <t>DISPOSABLE GLOVES ARE NECESSARY FOR FULL TIME SWORN OFFICERS TO USE WHEN DEALING WITH BLOOD AND OTHER MATERIALS THAT ARE NOT SAFE TO TOUCH WHEN ON DUTY OR IN TRAINING.</t>
  </si>
  <si>
    <t>2YTPDD43200897</t>
  </si>
  <si>
    <t>BRIGHTON POLICE DEPT (2YTPDD)</t>
  </si>
  <si>
    <t xml:space="preserve">
Sales Order #: 2265794319
RTD Screening Code: DOD
Reason for Rejection: YH</t>
  </si>
  <si>
    <t>THE OAKLAND COUNTY SHERIFFS OFFICE REQUIRES A COMMERCIAL VAN TO TRANSPORT EQUIPMENT AND PERSONNEL FOR OPERATIONS, SPECIAL DETAILS, AND DEPLOYMENTS. OUR CURRENT TECHNICAL SUPPORT GROUP TRANSPORT CAPABILITIES ARE EXTREMELY LIMITED, IMPACTING EFFICIENCY AND RESPONSE READINESS. A DEDICATED VAN WILL IMPROVE LOGISTICAL SUPPORT, ENSURE TIMELY DEPLOYMENT OF CRITICAL RESOURCES, AND ENHANCE OVERALL OPERATIONAL EFFECTIVENESS.</t>
  </si>
  <si>
    <t>2YT1WK51010508</t>
  </si>
  <si>
    <t xml:space="preserve">
Sales Order #: 2268814875
RTD Screening Code: GSA
Reason for Rejection: YG</t>
  </si>
  <si>
    <t>FOR USE IN OUR AVIATION HANGAR TO SAFELY CLEAN UP OILS, USED IN AVIATION MAINTENANCE. OUR AVIATION UNIT IS USED SOLELY FOR LAW ENFORCEMENT PURPOSES AND THE ITEM WILL BE USED TO ENHANCE SAFETY FOR LAW ENFORCEMENT PERSONNEL.</t>
  </si>
  <si>
    <t>SORBENT,OIL</t>
  </si>
  <si>
    <t>2YTFX351504853</t>
  </si>
  <si>
    <t>JEFFERSON CSO (2YTFX3)</t>
  </si>
  <si>
    <t xml:space="preserve">
Sales Order #: 2268794865
RTD Screening Code: DOD
Reason for Rejection: YG</t>
  </si>
  <si>
    <t>2YTRGK5141JG22</t>
  </si>
  <si>
    <t xml:space="preserve">
Sales Order #: 2268794860
RTD Screening Code: DOD
Reason for Rejection: YG</t>
  </si>
  <si>
    <t>2YTRGK5141JG21</t>
  </si>
  <si>
    <t xml:space="preserve">
Sales Order #: 2268794867
RTD Screening Code: DOD
Reason for Rejection: YG</t>
  </si>
  <si>
    <t>2YTRGK5141JG20</t>
  </si>
  <si>
    <t xml:space="preserve">
Sales Order #: 2268794856
RTD Screening Code: DOD
Reason for Rejection: YG</t>
  </si>
  <si>
    <t>2YTRGK5141JG19</t>
  </si>
  <si>
    <t xml:space="preserve">
Sales Order #: 2268794858
RTD Screening Code: DOD
Reason for Rejection: YG</t>
  </si>
  <si>
    <t>2YTRGK5141JG18</t>
  </si>
  <si>
    <t xml:space="preserve">
Sales Order #: 2268794868
RTD Screening Code: DOD
Reason for Rejection: YG</t>
  </si>
  <si>
    <t>2YTRGK5141JG17</t>
  </si>
  <si>
    <t xml:space="preserve">
Sales Order #: 2268794862
RTD Screening Code: DOD
Reason for Rejection: YG</t>
  </si>
  <si>
    <t>2YTRGK5141JG16</t>
  </si>
  <si>
    <t xml:space="preserve">
Sales Order #: 2268794854
RTD Screening Code: DOD
Reason for Rejection: YG</t>
  </si>
  <si>
    <t>2YTRGK5141JG15</t>
  </si>
  <si>
    <t xml:space="preserve">
Sales Order #: 2269317184
RTD Screening Code: DOD
Reason for Rejection: YG</t>
  </si>
  <si>
    <t>THE MERCER COUNTY SHERIFFS DEPARTMENT WILL USE THE TRAILER FOR LAW ENFORCEMENT PURPOSES. WE WILL USE THE TRAILER TO TRANSPORT OUR SIDE BY SIDE OR UTV TO AREAS OF THE COUNTY FOR SEARCH AND RESCUE OPERATIONS. WE CAN USE IT TO TRANSPORT OUR MOTORCYCLES DURING SEARCH AND RESCUE</t>
  </si>
  <si>
    <t>2YTP6K51645651</t>
  </si>
  <si>
    <t>MERCER CSO (2YTP6K)</t>
  </si>
  <si>
    <t xml:space="preserve">
Sales Order #: 2259104780
RTD Screening Code: DOD
Reason for Rejection: YG</t>
  </si>
  <si>
    <t>THE MERCER COUNTY SHERIFFS DEPARTMENT WILL USE THE TRUCK FOR LAW ENFORCEMENT PURPOSES. WE WILL USE THE TRUCK TO TRANSPORT EQUIPMENT FOR TRAINING AND EMERGENCY SERVICE DURING TIMES OF NATURAL DISASTERS. WE CAN USE THE TRUCKS TO CARRY OUR EQUIPMENT TO DIFFERENT AREAS OF THE COUNTY TO SERVE OUR CITIZENS.</t>
  </si>
  <si>
    <t>2YTP6K51645650</t>
  </si>
  <si>
    <t xml:space="preserve">
Sales Order #: 2269717140
RTD Screening Code: DOD
Reason for Rejection: YG</t>
  </si>
  <si>
    <t>THESE ITEMS WOULD BE USED BY THE ORANGE COUNTY SHERIFF'S DEPARTMENT. THESE ITEMS WOULD BE ASSIGNED OR ISSUED TO OUR MUTUAL AID DIVISION. THE ITEMS COULD BE USED TO HELP SECURE SHERIFF'S BUILDINGS, ENTRY TO JAILS OR EQUIPMENT FACILITIES OR AREAS WHERE SHERIFF'S STAFF AND EQUIPMENT ARE BEING STAGED OR STORED.</t>
  </si>
  <si>
    <t>BARRIER,VEHICLE ARRESTING,PORTABLE</t>
  </si>
  <si>
    <t>2YT14Z51716215</t>
  </si>
  <si>
    <t xml:space="preserve">
Sales Order #: 2269731393
RTD Screening Code: DOD
Reason for Rejection: YG</t>
  </si>
  <si>
    <t>FOR USE BY ON DUTY OSD OFFICERS WHEN RESPONDING TO SCENES INVOLVING HAZARDOUS ATMOSPHERES. THIS IS INTENDED TO REPLACE AGING SCBA EQUIPMENT FOR USE BY PATROL OFFICERS.</t>
  </si>
  <si>
    <t>2YT1WK51786697</t>
  </si>
  <si>
    <t>FOREST PARK PD WILL USE THIS ATV TO PATROL ITS BUSINESS DISTRICT AND EVENTS IN TOWN.  ONLY FULL TIME OFFICERS WILL BE ALLOWED TO USE THIS ATV.  THIS ATV WILL ASSIST IN COMMUNITY POLICING EFFORTS.</t>
  </si>
  <si>
    <t>2YTD6U51997909</t>
  </si>
  <si>
    <t>FOREST PARK POLICE DEPT (2YTD6U)</t>
  </si>
  <si>
    <t xml:space="preserve">THIS VEHICLE WOULD BE USED BY OFFICERS OF THE POLICE DEPARTMENT FOR SPECIAL OPERATIONS.  THIS WOULD BE USED FOR SPECIAL EVENTS AS WELL AS SEARCH AND RESCUE OPERATIONS.  PROVIDING A MUCH NEEDED RESOURCE OUR DEPARTMENT LACKS CURRENTLY.
</t>
  </si>
  <si>
    <t>2YTC8P51997939</t>
  </si>
  <si>
    <t xml:space="preserve">
Sales Order #: 2235216970
RTD Screening Code: ACCM
Reason for Rejection: YE</t>
  </si>
  <si>
    <t>ITEM WILL BE UTILIZED FOR LEO PURPOSES ONLY. FBI BA IS REQUESTING DIGITAL CAMERAS TO ISSUE TO LEOS TO USE FOR OPERATIONAL SURVEILLANCE, INTELLIGENCE COLLECTION, AND SEARCH AND SEIZURE ACTIVITIES.</t>
  </si>
  <si>
    <t>PHOTOGRAPHIC SETS, KITS, AND OUTFITS</t>
  </si>
  <si>
    <t>DSPHOTOSE</t>
  </si>
  <si>
    <t>2YTRJ333004088</t>
  </si>
  <si>
    <t xml:space="preserve">
Sales Order #: 2256123965
RTD Screening Code: GSA
Reason for Rejection: YH</t>
  </si>
  <si>
    <t>2YTPDD43200891</t>
  </si>
  <si>
    <t xml:space="preserve">
Sales Order #: 2266720082
RTD Screening Code: DOD
Reason for Rejection: YG</t>
  </si>
  <si>
    <t>THE DOUGLAS COUNTY SHERIFFS OFFICE WILL BE USING THE ROBOT FOR BOMB SQUAD OPERATIONS, SWAT AND CRISIS OPERATIONS ALONG WITH ANY NEEDS FROM BOMB SQUAD TASK FORCE AGENCIES.</t>
  </si>
  <si>
    <t>2YTDEX51431568</t>
  </si>
  <si>
    <t>DOUGLAS COUNTY SHERIFFS OFFICE (2YTDEX)</t>
  </si>
  <si>
    <t>NV</t>
  </si>
  <si>
    <t xml:space="preserve">
Sales Order #: 2267456340
RTD Screening Code: DOD
Reason for Rejection: YF</t>
  </si>
  <si>
    <t>UNIT REQUESTED BY COLLETON COUNTY SO, FOR USE BY CCSO SPECIAL OPERATIONS PERSONNEL, FOR ACTIVE SCENES INVOLVING ARMED OFFENDERS OR THREATS OF IEDS, TO FURTHER PROTECT PERSONNEL AND CITIZENS FROM INJURY OR DEATH.</t>
  </si>
  <si>
    <t>2YTCN251572975</t>
  </si>
  <si>
    <t>COLLETON COUNTY SHERIFF OFFICE (2YTCN2)</t>
  </si>
  <si>
    <t xml:space="preserve">
Sales Order #: 2268964555
Reason for Rejection: YG</t>
  </si>
  <si>
    <t>FOR LAW ENFORCEMENT OPERATIONS IN HIGH DRUG TRAFFIC AREAS, RELATED TO COUNTER TERROR, INCIDENTS INVOLVING HIGH PROPENSITY OF WEAPONS INVOLVEMENT, AND INVESTIGATIONS INVOLVING SUSPECTS WITH VIOLENT HISTORY AND TENDENCIES, HIGH RISK WARRANTS, POTENTIAL RESPONSE TO ACTIVE SHOOTER EVENTS, SEARCHES FOR LOST PERSONS, AND DAILY PATROL RESPONSIBILITIES.  
CONDITION F OF THE ITEMS IS CONFIRMED AND ACKNOWLEDGED.</t>
  </si>
  <si>
    <t>MAGAZINE,CARTRIDGE</t>
  </si>
  <si>
    <t>2YTG8951505096</t>
  </si>
  <si>
    <t>MAPLE GROVE POLICE DEPT (2YTG89)</t>
  </si>
  <si>
    <t xml:space="preserve">
Sales Order #: 2270019324
RTD Screening Code: DOD
Reason for Rejection: YH</t>
  </si>
  <si>
    <t>FOR USE BY THIS LEA ONLY.  THIS LEA WILL UTILIZE THIS ITEM FOR LAW ENFORCEMENT PURPOSES.   THIS AGENCY WILL USE THIS ITEM TO TRANSPORT TRAFFIC BARRICADES AND CONES DURING TRAFFIC INCIDENTS.</t>
  </si>
  <si>
    <t>2YTHWK51716238</t>
  </si>
  <si>
    <t xml:space="preserve">
Sales Order #: 2269753001
RTD Screening Code: DOD
Reason for Rejection: YG</t>
  </si>
  <si>
    <t>THIS LEA RESPECTFULLY REQUESTS THE ABOVE ITEMS WHICH WILL BE ISSUED TO INDIVIDUAL OFFICERS DURING COLD WEATHER OPS.</t>
  </si>
  <si>
    <t>2YTG7Y51716402</t>
  </si>
  <si>
    <t>MANCHESTER TWP POLICE DEPT (2YTG7Y)</t>
  </si>
  <si>
    <t xml:space="preserve">
Sales Order #: 2269753004
RTD Screening Code: GSA
Reason for Rejection: YG</t>
  </si>
  <si>
    <t>THIS LEA RESPECTFULLY REQUESTS THE ABOVE ITEMS WHICH WILL BE UTILIZED FOR STORAGE OF POLICE SENSITIVE PROPERTY.</t>
  </si>
  <si>
    <t>2YTG7Y51646400</t>
  </si>
  <si>
    <t xml:space="preserve">
Sales Order #: 2269752999
RTD Screening Code: DON
Reason for Rejection: YG</t>
  </si>
  <si>
    <t>THIS LEA RESPECTFULLY REQUESTS THE ABOVE ITEMS TO BE UTILIZED IN PATROL VEHICLES AS NEEDED DURING CRITICAL INCIDENTS TO ENHANCE SAFETY OF THE OFFICERS AND PUBLIC.</t>
  </si>
  <si>
    <t>2YTG7Y51646399</t>
  </si>
  <si>
    <t xml:space="preserve">
Sales Order #: 2257260893
RTD Screening Code: DOD
Reason for Rejection: YH</t>
  </si>
  <si>
    <t>TO ASSIST LEA IN SURVEILLANCE OBSERVATIONS DURING CRIMINAL INVESTIGATIONS.</t>
  </si>
  <si>
    <t>2YTMPA51786671</t>
  </si>
  <si>
    <t xml:space="preserve">
Sales Order #: 2269731400
RTD Screening Code: DOD
Reason for Rejection: YG</t>
  </si>
  <si>
    <t>THESE RAILS WILL BE HELD AND USED BY THE WARRINGTON TOWNSHIP POLICE DEPARTMENT TO OFFSET THE COST OF UPDATING THE CURRENT PATROL RIFLES TO ALLOW THE ATTACHMENT OF LIGHTS AND FURTHER EQUIPMENT TO BETTER IDENTIFY SUBJECT AND INCREASE OFFICER AND CITIZEN SAFETY</t>
  </si>
  <si>
    <t>2YTM8V51716733</t>
  </si>
  <si>
    <t xml:space="preserve">
Sales Order #: 2271040429
RTD Screening Code: DOD
Reason for Rejection: Y9</t>
  </si>
  <si>
    <t>THE GREENE COUNTY SHERIFFS OFFICE WILL USE THIS SMALL GENERATOR SINCE IT IS COMPACT FOR OFFICERS TO USE TO RUN THEIR PORTABLE LIGHTS DURING A SOBRIETY CHECKPOINT. THIS BEING COMPACT THEY WILL NOT HAVE TO WORRY ABOUT LOADING A LARGE GENERATOR TO TAKE TO THE SCENE.</t>
  </si>
  <si>
    <t>2YTET651927460</t>
  </si>
  <si>
    <t xml:space="preserve">
Sales Order #: 2271113912
RTD Screening Code: DOD
Reason for Rejection: Y9</t>
  </si>
  <si>
    <t>THE TRIPODS WILL BE USED BY THE ARP POLICE DEPARTMENT FOR LAW ENFORCEMENT PURPOSES ONLY BY PROVIDING TRIPODS FOR LESO AWARDED CAMERAS FOR USE ON CRIME SCENES.</t>
  </si>
  <si>
    <t>2YTANX51927479</t>
  </si>
  <si>
    <t>HELMET,GROUND TROOPS' OR PARACHUTISTS',N</t>
  </si>
  <si>
    <t>2YTHWR51927570</t>
  </si>
  <si>
    <t>2YTHWR51857571</t>
  </si>
  <si>
    <t xml:space="preserve">
Sales Order #: 2271234655
RTD Screening Code: DOD
Reason for Rejection: YH</t>
  </si>
  <si>
    <t>GOGGLES WILL BE USED WHERE EYE PROTECTION IS REQUIRED DURING LAW ENFORCEMENT ACTIVE KILLER TRAINING WHERE SIMUNITIONS (PAINT MUNITIONS) ARE USED.  THIS IS SCENARIO-BASED TRAINING IN FORCE-ON-FORCE ENCOUNTERS AND DE-ESCALATION TECHNIQUES.</t>
  </si>
  <si>
    <t>2YTN1M51857731</t>
  </si>
  <si>
    <t xml:space="preserve">
Sales Order #: 2270131167
RTD Screening Code: DOD
Reason for Rejection: YH</t>
  </si>
  <si>
    <t>2YTN1M51857730</t>
  </si>
  <si>
    <t xml:space="preserve">
Sales Order #: 2271234654
RTD Screening Code: DOD
Reason for Rejection: YH</t>
  </si>
  <si>
    <t>2YTN1M51857727</t>
  </si>
  <si>
    <t xml:space="preserve">
Sales Order #: 2271232363
RTD Screening Code: DOD
Reason for Rejection: Y9</t>
  </si>
  <si>
    <t>THE HOWELL COUNTY SHERIFF'S OFFICE IS A LAW ENFORCEMENT AGENCY. THESE ICE CHESTS WILL BE USED FOR LARGE SCALE INCIDENTS, TRAINING EVENTS AND OTHER SITUATIONS AS THEY ARISE. THE ICE CHESTS WILL BE USED TO TRANSPORT, PROTECT AND KEEP DRINKS AND FOOD AT SAFE TEMPERATURES FOR DEPUTIES AND OTHER RESPONDERS TO CONSUME.</t>
  </si>
  <si>
    <t>CHEST,ICE STORAGE</t>
  </si>
  <si>
    <t>2YTFKX51997871</t>
  </si>
  <si>
    <t xml:space="preserve">
Sales Order #: 2271232355
RTD Screening Code: DOD
Reason for Rejection: Y9</t>
  </si>
  <si>
    <t>THE HOWELL COUNTY SHERIFF'S OFFICE IS A LAW ENFORCEMENT AGENCY. HCSO WILL UTILIZE THIS VEHICLE FOR EMERGENCY RESPONSE. NATURAL DISASTERS, MISSING PERSONS, MANHUNTS. CRIME SCENES AND OTHER EMERGENCY SITUATIONS AS THEY ARISE. HCSO PATROLS 926 SQ MILES OF VERY RURAL, DARK AND ROUGH TERRAIN AND PATROLS OVER 50,000 ACRES OF STATE AND NATIONAL FORREST LAND WITHIN HOWELL COUNTY. TH UNIT WILL ALSO BE USED WITH A SPRAYER TO CONTROL WEEDS IN THE GRAVEL AREAS ON HCSO AND THE HCSO TRAINING CENTER.</t>
  </si>
  <si>
    <t>2YTFKX51997867</t>
  </si>
  <si>
    <t xml:space="preserve">
Sales Order #: 2271290419
RTD Screening Code: DOD
Reason for Rejection: Y9</t>
  </si>
  <si>
    <t>UTV WILL BE USED TO REPLACE TWO OLDER ONES THAT ARE NO LONGER FEASIBLE TO REPAIR. THE GREENE COUNTY SHERIFFS OFFICE USES THESE VEHICLES IN DISASTER, SEARCH AND RESCUE OPERATIONS, AND AT SPECIAL EVENTS TO CARRY OFFICERS AND EQUIPMENT AROUND.</t>
  </si>
  <si>
    <t>2YTET651997854</t>
  </si>
  <si>
    <t xml:space="preserve">
Sales Order #: 2271191441
RTD Screening Code: DOD
Reason for Rejection: Y9</t>
  </si>
  <si>
    <t>REQUESTED BY SCDPS TO BE USED BY SCDPS LAW ENFORCEMENT OFFICERS AS A QUICK RESPONSE VEHICLE DURING SPECIAL EVENTS AND INCLEMENT WEATHER.</t>
  </si>
  <si>
    <t>2YTKTF51997906</t>
  </si>
  <si>
    <t xml:space="preserve">
Sales Order #: 2271283205
RTD Screening Code: DOD
Reason for Rejection: Y9</t>
  </si>
  <si>
    <t>ITEM WILL BE USED BY THE ORANG COUNTY SHERIFF'S DEPARTMENT FOR THE PURPOSE OF PLACEMENT INTO THE BREAK ROOM OF ONE OF OUR PATROL STATIONS. THE MACHINE WILL BE USED TO HEAT MEALS FOR DEPUTIES DURING SHIFT BREAKS.</t>
  </si>
  <si>
    <t>OVEN,MICROWAVE</t>
  </si>
  <si>
    <t>2YT14Z51997964</t>
  </si>
  <si>
    <t>RECHARGEABLE BATTERIES USED IN ROBOTIC SYSTEMS.  WILL BE USED BY SHERIFF'S OFFICE BOMB TECHS TO OPERATE BOMB ROBOT PLATFORMS.</t>
  </si>
  <si>
    <t>2YTF7N51997922</t>
  </si>
  <si>
    <t>TO BE USED BY LAW ENFORCEMENT FOR THE CONSTRUCTION AND MAINTENACE OF THE LAW ENFORCEMENT TRAINING FACILITY.</t>
  </si>
  <si>
    <t>2YTEZF51997965</t>
  </si>
  <si>
    <t>OUR AGENCY RESPONDS TO HIGH-RISK CALLS IN RURAL AREAS WITH DELAYED BACKUP AND LIMITED COVER. BALLISTIC SHIELDS ARE ESSENTIAL FOR PROTECTING DEPUTIES DURING WARRANT SERVICE, ACTIVE THREATS, AND SRT OPERATIONS. HAVING TWO ALLOWS FOR COORDINATED MOVEMENT, RESCUE OPERATIONS, AND LAYERED DEFENSE. WITH NO ARMORED VEHICLE, SHIELDS ARE A CRITICAL SAFETY ASSET FOR OUR TEAM AND THE PUBLIC.</t>
  </si>
  <si>
    <t>SHIELD, PERSONAL PROTECTIVE</t>
  </si>
  <si>
    <t>DSPSHIELD</t>
  </si>
  <si>
    <t>2YTFKS51998094</t>
  </si>
  <si>
    <t xml:space="preserve">
Sales Order #: 2254112386
Reason for Rejection: YH</t>
  </si>
  <si>
    <t>THE JEFFERSON COUNTY SHERIFF'S OFFICE WOULD UTILIZE THESE ITEMS BY ISSUING THEM THE THE JEFFERSON COUNTY PATROL DEPUTIES FOR USE WHILE ON DUTY IN JEFFERSON COUNTY. THESE ITEMS WOULD ASSIST PATROL DEPUTIES IN INSTANCES OF SEARCHES FOR MISSING AND ENDANGERED PERSONS OR MATTERS RELATING TO PUBLIC SAFETY. THESE ITEMS WOULD FURTHER BENEFIT PATROL DEPUTIES DURING MAN MADE OR NATURAL DISASTERS. I AM AWARE OF THE CONDITION CODE AND STILL REQUEST THE PROPERTY.</t>
  </si>
  <si>
    <t>2YTFX942646835</t>
  </si>
  <si>
    <t xml:space="preserve">
Sales Order #: 2269317177
RTD Screening Code: DOD
Reason for Rejection: YH</t>
  </si>
  <si>
    <t>THE WEST POLICE DEPARTMENT WILL USE THIS EQUIPMENT FOR LAW ENFORCEMENT PURPOSES ONLY. THIS EQUIPMENT WILL BE UTILIZED TO ENHANCE THE ABILITIES OF POLICE OFFICERS TO EFFICIENTLY COMMUNICATE INFORMATION AND DETAILS DURING EMERGENCIES AND OR MASS GATHERINGS</t>
  </si>
  <si>
    <t>2YTPJJ51645589</t>
  </si>
  <si>
    <t xml:space="preserve">
Sales Order #: 2269317183
RTD Screening Code: DOD
Reason for Rejection: YH</t>
  </si>
  <si>
    <t>2YTPJJ51645588</t>
  </si>
  <si>
    <t xml:space="preserve">
Sales Order #: 2269282491
RTD Screening Code: DOD
Reason for Rejection: YG</t>
  </si>
  <si>
    <t>2YTCHK51716231</t>
  </si>
  <si>
    <t xml:space="preserve">
Sales Order #: 2269731404
RTD Screening Code: DOD
Reason for Rejection: YG</t>
  </si>
  <si>
    <t>DICKENSON COUNTY SHERIFF'S OFFICE IS A FULL-SERVICE LAW ENFORCEMENT AGENCY.  THIS VEHICLE WILL BE USED BY SWORN, CERTIFIED OFFICERS FOR TRANSPORTS WHICH DO NOT REQUIRE A MARKED POLICE VEHICLE, SUCH AS CERTAIN JUVENILE AND MENTAL HEALTH TRANSPORTS.  THIS VEHICLE WILL ALSO BE USED TO TRAVEL TO AND FROM TRAINING.</t>
  </si>
  <si>
    <t>2YTDCB51786718</t>
  </si>
  <si>
    <t xml:space="preserve">
Sales Order #: 2265099641
Reason for Rejection: YG</t>
  </si>
  <si>
    <t>WILLIAMSBURG POLICE HAS 6 MEMBERS AND ONE K9 TEAM WHO RESPOND TO ARMED BARRICADED SUBJECTS, WARRANT SEARCHES, OR SEARCH AND RESCUE SITUATION. WITH NO ADDITIONAL FUNDING RESOURCES FOR TACTICAL VEHICLES, RECEIPT OF REQUESTED TACTICAL VEHICLES WOULD REDUCE THE COST FOR WILLIAMSBURG POLICE TO ACQUIRE.</t>
  </si>
  <si>
    <t>2YTNP751786837</t>
  </si>
  <si>
    <t xml:space="preserve">
Sales Order #: 2271028285
RTD Screening Code: DOD
Reason for Rejection: Y9</t>
  </si>
  <si>
    <t>ITEM WILL BE USED BY THE ORANGE COUNTY SHERIFF'S DEPARTMENT FOR THE PURPOSE OF ISSUE TO OUR NORTH OPERATIONS UNIT. THE CART WILL BE USED AT THE COUNTY FAIRGROUNDS TO SAFELY AND QUICKLY TRANSPORT DEPUTIES AND LIFESAVING EQUIPMENT THROUGH CROWDS</t>
  </si>
  <si>
    <t>2YT14Z51927619</t>
  </si>
  <si>
    <t xml:space="preserve">
Sales Order #: 2271283212
RTD Screening Code: DOD
Reason for Rejection: Y9</t>
  </si>
  <si>
    <t>THESE HEADSET WILL BE USED BY OUR SRT OPERATORS AND ALLOW THEM TO BE ABLE TO COMMUNICATE CLEARLY AS WELL AS HAVE AMPLIFIED HEARING DURING OPERATIONS. 
I HAVE CONTACTED THE BASE AND WE ARE SATISFIED WITH THE CONDITION OF THE HEADSETS.</t>
  </si>
  <si>
    <t>2YTHDF51927781</t>
  </si>
  <si>
    <t xml:space="preserve">
Sales Order #: 2271232350
RTD Screening Code: DOD
Reason for Rejection: Y9</t>
  </si>
  <si>
    <t>THIS LAW ENFORCEMENT AGENCY WOULD UTILIZE THESE ITEMS FOR IT'S SPECIAL RESPONSE TEAM COMPRISED OF SWORN LAW ENFORCEMENT OFFICERS. THE TEAM WOULD USE THESE ITEMS DURING DEPLOYMENT TO CRITICAL INCIDENTS IN WHICH HEARING PROTECTION AND COMMUNICATION ARE NEEDED. THANK YOU FOR YOUR CONSIDERATION.</t>
  </si>
  <si>
    <t>2YTLQT51927821</t>
  </si>
  <si>
    <t xml:space="preserve">
Sales Order #: 2271232339
RTD Screening Code: DOD
Reason for Rejection: Y9</t>
  </si>
  <si>
    <t>THE HOWELL COUNTY SHERIFF'S OFFICE IS A LAW ENFORCEMENT AGENCY. HCSO WILL UTILIZE THIS WINCH ON A UTILITY VEHICLE FOR EMERGENCY RESPONSE. NATURAL DISASTERS, MISSING PERSONS, MANHUNTS. CRIME SCENES AND OTHER EMERGENCY SITUATIONS AS THEY ARISE. HCSO PATROLS 926 SQ MILES OF VERY RURAL, DARK AND ROUGH TERRAIN AND PATROLS OVER 50,000 ACRES OF STATE AND NATIONAL FORREST LAND WITHIN HOWELL COUNTY.</t>
  </si>
  <si>
    <t>NRP,TOW WINCH LEVEL</t>
  </si>
  <si>
    <t>2YTFKX51997866</t>
  </si>
  <si>
    <t>FOR USE BY LEA DURING LOW LIGHT TACTICAL APPLICATIONS</t>
  </si>
  <si>
    <t>2YTMPA51997879</t>
  </si>
  <si>
    <t xml:space="preserve">
Sales Order #: 2271362912
RTD Screening Code: DOD
Reason for Rejection: Y9</t>
  </si>
  <si>
    <t>THE BRISTOL TENNESSEE POLICE DEPARTMENT WOULD UTILIZE THIS MOTORIZED CART TO PATROL CROWDED AREAS AND RESPOND TO CALLS FOR SERVICE FASTER WHEN POLICE CARS CAN'T FIT OR WON'T BE ABLE TO GAIN ACCESS TO THE CROWDED AREAS.</t>
  </si>
  <si>
    <t>2YTBJQ51997907</t>
  </si>
  <si>
    <t xml:space="preserve">
Sales Order #: 2271290425
RTD Screening Code: DOD
Reason for Rejection: BQ</t>
  </si>
  <si>
    <t>TO REDUCE THE COST OF HIRING A PRIVATE TRUCKING COMPANY TO HAUL LOADS TO AND FROM POLICE DEPARTMENT, THAT IS NOT TYPICALLY BUDGETED FOR.  TRANSPORTING EQUIPMENT.</t>
  </si>
  <si>
    <t>2YTNP751997918</t>
  </si>
  <si>
    <t xml:space="preserve">
Sales Order #: 2271369109
RTD Screening Code: DOD
Reason for Rejection: BQ</t>
  </si>
  <si>
    <t>TO BE USED FOR HAULING AWAY BRUSH FROM THE POLICE DEPARTMENT LIVE FIRE RANGE AND OTHER AREAS OF THE VILLAGE, HAULING BARRICADES FOR TRAFFIC CONTROL DURING EVENTS.</t>
  </si>
  <si>
    <t>2YTNP751927919</t>
  </si>
  <si>
    <t xml:space="preserve">
Sales Order #: 2271191457
RTD Screening Code: DOD
Reason for Rejection: Y9</t>
  </si>
  <si>
    <t>FOR USE BY ON DUTY OSD OFFICERS OPERATING FROM HELICOPTER AND HOVERCRAFT ASSETS. THIS IS INTENDED TO PROVIDE OFFICERS WITH COMMUNICATIONS CAPABLE HEARING PROTECTION.</t>
  </si>
  <si>
    <t>2YT1WK51997983</t>
  </si>
  <si>
    <t xml:space="preserve">
Sales Order #: 2271191464
RTD Screening Code: DOD
Reason for Rejection: Y9</t>
  </si>
  <si>
    <t>THESE HEADSETS WILL BE USED BY OUR SRT OPERATORS DURING TRAINING AND OPERATIONS, ALLOWING THEM TO COMMUNICATE ON THE RADIO AS WELL AS PROVIDING AMPLIFIED HEARING PROTECTION.  
I HAVE CONTACTED THE BASE AND WE ARE SATISFIED WITH THE CONDITION OF THE HEADSETS.</t>
  </si>
  <si>
    <t>2YTHDF51998004</t>
  </si>
  <si>
    <t xml:space="preserve">
Sales Order #: 2271290453
RTD Screening Code: DOD
Reason for Rejection: Y9</t>
  </si>
  <si>
    <t>2YTGMZ51998016</t>
  </si>
  <si>
    <t>TO BE USED FOR TDY DEPLOYMENTS.</t>
  </si>
  <si>
    <t>2YTMNB51997992</t>
  </si>
  <si>
    <t>DOJ/DEA FORT WORTH DIV (2YTMNB)</t>
  </si>
  <si>
    <t>TO BE USED FOR TDY DEPLOYMENTS</t>
  </si>
  <si>
    <t>2YTMNB51927997</t>
  </si>
  <si>
    <t xml:space="preserve">
Sales Order #: 2271445011
RTD Screening Code: DOD
Reason for Rejection: Y9</t>
  </si>
  <si>
    <t>THE STEPPER WILL BE USED BY OFFICERS OF THE TROY POLICE DEPARTMENT TO MAINTAIN PHYSICAL FITNESS .</t>
  </si>
  <si>
    <t>2YTLZB51998060</t>
  </si>
  <si>
    <t xml:space="preserve">
Sales Order #: 2271191488
RTD Screening Code: DOD
Reason for Rejection: Y9</t>
  </si>
  <si>
    <t>THIS OPTIC WILL BE USED BY OUR SRT SNIPERS AND WILL UPGRADE THE CURRENT OPTIC BEING USED ALLOWING FOR BETTER OBSERVATION.
I HAVE CONTACTED THE BASE IN REFERENCE TO CONDITION OF THE OPTIC AND WE ARE SATISFIED WITH THE CONDITION.</t>
  </si>
  <si>
    <t>SIGHT,INFINITY</t>
  </si>
  <si>
    <t>2YTHDF51998027</t>
  </si>
  <si>
    <t>WILL BE USED TO REPLACE AGING POLICE OFFICER WORK STATIONS IN THE PATROL ROOM.</t>
  </si>
  <si>
    <t>WORK STATION,OFFICE</t>
  </si>
  <si>
    <t>2YTQD951907975</t>
  </si>
  <si>
    <t xml:space="preserve">
Sales Order #: 2269317176
RTD Screening Code: DOD
Reason for Rejection: YH</t>
  </si>
  <si>
    <t>TRAILER EQUIPPED WITH A TELESCOPING TOWER USED FOR SPECIAL EVENTS, SURVEILLANCE, AND EMERGENCY COMMUNICATIONS. PROVIDES ELEVATED CAMERA OR ANTENNA PLACEMENT TO SUPPORT PUBLIC SAFETY, SITUATIONAL AWARENESS, AND INTEROPERABILITY DURING INCIDENTS. DEPLOYABLE QUICKLY TO ENHANCE VISIBILITY OR RESTORE COMMS WHEN NEEDED.</t>
  </si>
  <si>
    <t>2YTC8P51645643</t>
  </si>
  <si>
    <t xml:space="preserve">
Sales Order #: 2246809007
RTD Screening Code: DOD
Reason for Rejection: YD</t>
  </si>
  <si>
    <t>THE WAKE COUNTY SHERIFF OFFICE WOULD LIKE TO OBTAIN THESE ITEMS.  THEY WOULD BE USED BY PATROL TO CARRY MEDICAL EQUIPMENT FOR RESPONSE TO CALLS.</t>
  </si>
  <si>
    <t>MEDIC SET</t>
  </si>
  <si>
    <t>2YTM4X51626346</t>
  </si>
  <si>
    <t xml:space="preserve">
Sales Order #: 2246809005
RTD Screening Code: DOD
Reason for Rejection: YD</t>
  </si>
  <si>
    <t>2YTM4X51626345</t>
  </si>
  <si>
    <t xml:space="preserve">
Sales Order #: 2261426685
RTD Screening Code: DOD
Reason for Rejection: YD</t>
  </si>
  <si>
    <t>FBI CHARLOTTE'S SWAT TEAM WOULD LIKE TO REQUEST THESE CASES FOR THE TRANSPORT OF SENSITIVE ITEMS SUCH AS WEAPONS, NIGHT VISION AND RADIOS FOR TRAINING AND OPERATIONS TASKS. THESE ITEMS CAN BE EASILY DAMAGED AND ARE EXTREMELY EXPENSIVE. CASES SUCH AS THE ONES REQUESTED PROVIDE A PROTECTIVE YET EASILY TRANSPORTABLE SOLUTION.</t>
  </si>
  <si>
    <t>CASE,TRANSIT</t>
  </si>
  <si>
    <t>2YTQY151716441</t>
  </si>
  <si>
    <t xml:space="preserve">
Sales Order #: 2261426673
RTD Screening Code: DOD
Reason for Rejection: YD</t>
  </si>
  <si>
    <t xml:space="preserve">FEDERAL SCREENER FOR DIVISION WITH 200 LAW ENFORCEMENT AGENTS TO INCLUDE 19 SWAT OPERATORS.  FBI JURISDICTION FOR ALL OF NORTH CAROLINA.  CASES WILL BE USED TO TRANSPORT AND STORE SENSITIVE ITEMS AND EQUIPMENT FOR SWAT AND POTENTIAL TRAVEL TO INCLUDE BY AIR.
</t>
  </si>
  <si>
    <t>2YTQY151716409</t>
  </si>
  <si>
    <t xml:space="preserve">
Sales Order #: 2270261031
RTD Screening Code: DOD
Reason for Rejection: YH</t>
  </si>
  <si>
    <t>2YTN5E51716514</t>
  </si>
  <si>
    <t xml:space="preserve">
Sales Order #: 2266066866
RTD Screening Code: DOD
Reason for Rejection: YH</t>
  </si>
  <si>
    <t>THIS EQUIPMENT WILL BE USED FOR LAW ENFORCEMENT PURPOSES ONLY. THE WEST POLICE DEPARTMENT WILL UTILIZE THIS EQUIPMENT AS AN EMERGENCY POWER SOURCE FOR THE WEST POLICE STATION AND EAST SUBSTATION DURING POWER OUTAGES AND OR DURING EMERGENCY SITUATIONS REQUIRING AN EXTERNAL POWER SOURCE.</t>
  </si>
  <si>
    <t>2YTPJJ51716574</t>
  </si>
  <si>
    <t xml:space="preserve">
Sales Order #: 2263843689
RTD Screening Code: DOD
Reason for Rejection: YD</t>
  </si>
  <si>
    <t>THE WAKE COUNTY SHERIFF OFFICE WOULD LIKE TO OBTAIN THESE ITEMS.  THEY WOULD BE USED TO ORGANIZE PRE LOADED RESPONSES TO RIOTOUS CROWDS.</t>
  </si>
  <si>
    <t>CARRIER,FIGHTING LO</t>
  </si>
  <si>
    <t>2YTM4X51696898</t>
  </si>
  <si>
    <t xml:space="preserve">
Sales Order #: 2263843685
RTD Screening Code: DOD
Reason for Rejection: YD</t>
  </si>
  <si>
    <t>THE WAKE COUNTY SHERIFF OFFICE WOULD LIKE TO OBTAIN THESE ITEMS.  THEY WOULD BE USED BY OUR GRENADIERS TO STORE 40MM ROUNDS FOR CROWD CONTROL.</t>
  </si>
  <si>
    <t>40MM HIGH EXPLOSIVE POUC</t>
  </si>
  <si>
    <t>2YTM4X51696897</t>
  </si>
  <si>
    <t xml:space="preserve">
Sales Order #: 2263843681
RTD Screening Code: DOD
Reason for Rejection: YD</t>
  </si>
  <si>
    <t>2YTM4X51696896</t>
  </si>
  <si>
    <t xml:space="preserve">
Sales Order #: 2263843674
RTD Screening Code: DOD
Reason for Rejection: YD</t>
  </si>
  <si>
    <t>40MM PYROTECHNIC POUCH</t>
  </si>
  <si>
    <t>2YTM4X51696895</t>
  </si>
  <si>
    <t xml:space="preserve">
Sales Order #: 2271232353
RTD Screening Code: DOD
Reason for Rejection: Y9</t>
  </si>
  <si>
    <t>THE HOWELL COUNTY SHERIFF'S OFFICE IS A LAW ENFORCEMENT AGENCY. THESE SURVIVAL BLANKETS WILL BE USED IN EMERGENCY SITUATIONS SUCH AS NATURAL AND MAN-MADE DISASTERS. THESE BLANKETS WILL PROTECT VICTIMS FROM THE ELEMENTS AND HYPOTHERMIA.</t>
  </si>
  <si>
    <t>2YTFKX51997869</t>
  </si>
  <si>
    <t xml:space="preserve">
Sales Order #: 2271290422
RTD Screening Code: DOD
Reason for Rejection: Y9</t>
  </si>
  <si>
    <t>THE AUGUSTA POLICE DEPARTMENT WOULD USE THESE TO REPLACE CURRENT OUTDATED OFFICE EQUIPMENT.</t>
  </si>
  <si>
    <t>2YTRJ551997890</t>
  </si>
  <si>
    <t xml:space="preserve">
Sales Order #: 2271532153
RTD Screening Code: DOD
Reason for Rejection: Y9</t>
  </si>
  <si>
    <t xml:space="preserve">FEDERAL SCREENER FOR DIVISION WITH 200 LAW ENFORCEMENT AGENTS TO INCLUDE 19 SWAT OPERATORS.  THESE ARE UTILIZED TO MOUNT OUR NIGHT VISION TO OUR HELMETS.
</t>
  </si>
  <si>
    <t>2YTQY151997933</t>
  </si>
  <si>
    <t xml:space="preserve">
Sales Order #: 2271379719
RTD Screening Code: DOD
Reason for Rejection: Y9</t>
  </si>
  <si>
    <t>TO ENHANCE THE AGENCY, LAKE COUNTY SHERIFF'S OFFICE, IN ITS LAW ENFORCEMENT RESPONSE INTO DISASTER AREAS AS REQUESTED BY THE STATE OF FLORIDA TO ASSIST THE LOCAL COMMUNITY DURING TIMES OF CRISIS. THIS ASSET WOULD BE PART OF OUR SELF-SUSTAINING DEPLOYMENT SET.</t>
  </si>
  <si>
    <t>2YTGE451997989</t>
  </si>
  <si>
    <t xml:space="preserve">
Sales Order #: 2271379718
RTD Screening Code: DOD
Reason for Rejection: Y9</t>
  </si>
  <si>
    <t>2YTGE451997987</t>
  </si>
  <si>
    <t xml:space="preserve">
Sales Order #: 2271379709
RTD Screening Code: DOD
Reason for Rejection: Y9</t>
  </si>
  <si>
    <t>2YTGE451997986</t>
  </si>
  <si>
    <t xml:space="preserve">
Sales Order #: 2271379711
RTD Screening Code: DOD
Reason for Rejection: Y9</t>
  </si>
  <si>
    <t>2YTGE451997985</t>
  </si>
  <si>
    <t xml:space="preserve">
Sales Order #: 2271135567
RTD Screening Code: DOD
Reason for Rejection: Y9</t>
  </si>
  <si>
    <t>2YTDUF51998039</t>
  </si>
  <si>
    <t>FOR LAW ENFORCEMENT OPERATIONS IN HIGH DRUG TRAFFIC AREAS, RELATED TO COUNTER TERROR, INCIDENTS INVOLVING HIGH PROPENSITY OF WEAPONS INVOLVEMENT, AND INVESTIGATIONS INVOLVING SUSPECTS WITH VIOLENT HISTORY AND TENDENCIES, HIGH RISK WARRANTS, POTENTIAL RESPONSE TO ACTIVE SHOOTER EVENTS, SEARCHES FOR LOST PERSONS, AND DAILY PATROL RESPONSIBILITIES.  
CONDITION A OF THE ITEMS CONFIRMED AND ACKNOWLEDGED.</t>
  </si>
  <si>
    <t>2YTG8951998191</t>
  </si>
  <si>
    <t>THIS WILL BE USED BY LAW ENFORCEMENT AT JEFFERSON COUNTY SHERIFF'S OFFICE TO STORE SEIZED DRUGS WHILE OUR NEW EVIDENCE COLLECTION BUILDING IS BEING BUILT</t>
  </si>
  <si>
    <t>2YTFX451998170</t>
  </si>
  <si>
    <t>FOR USE BY LEA IN EMERGENCY DISASTER ACTIVATION MISSIONS</t>
  </si>
  <si>
    <t>2YTMPA51998138</t>
  </si>
  <si>
    <t xml:space="preserve">
Sales Order #: 2267942164
RTD Screening Code: DOD
Reason for Rejection: YF</t>
  </si>
  <si>
    <t>FOR USE BY THE ANCHORAGE POLICE DEPARTMENT TECHNICAL SERVICE UNIT FOR CARPENTRY PROJECTS AND MAINTENANCE.</t>
  </si>
  <si>
    <t>2YTN5E51293073</t>
  </si>
  <si>
    <t xml:space="preserve">
Sales Order #: 2268033223
RTD Screening Code: DOD
Reason for Rejection: YG</t>
  </si>
  <si>
    <t>THE LAW ENFORCEMENT AGENCY IS COMMITTED TO SUPPORTING THE HEALTH, WELLNESS, AND OPERATIONAL READINESS OF ITS PERSONNEL. TO FURTHER THIS COMMITMENT, THE AGENCY IS LOOKING TO DEVELOP AN ONSITE EMPLOYEE FITNESS AREA WITHIN THE AGENCY'S PROPERTY. THIS FACILITY WILL SERVE AS A DEDICATED SPACE TO PROMOTE PHYSICAL FITNESS, REDUCE INJURY RISK, ENHANCE JOB PERFORMANCE, AND SUPPORT OVERALL WELLBEING AMONG EMPLOYEES.</t>
  </si>
  <si>
    <t>2YTE6D51363693</t>
  </si>
  <si>
    <t>HART COUNTY SHERIFF DEPT (2YTE6D)</t>
  </si>
  <si>
    <t xml:space="preserve">
Sales Order #: 2269308914
RTD Screening Code: DOD
Reason for Rejection: YH</t>
  </si>
  <si>
    <t>THE WAKE COUNTY SHERIFF OFFICE WOULD LIKE TO OBTAIN THIS ITEM.  IT WOULD BE UTILIZED TO MAKE MINOR REPAIRS TO EQUIPMENT.</t>
  </si>
  <si>
    <t>TOOL KIT,ELECTRONIC</t>
  </si>
  <si>
    <t>2YTM4X51575520</t>
  </si>
  <si>
    <t xml:space="preserve">
Sales Order #: 2269308912
RTD Screening Code: DOD
Reason for Rejection: YH</t>
  </si>
  <si>
    <t>THE WAKE COUNTY SHERIFF OFFICE WOULD LIKE TO OBTAIN THESE ITEMS.  THEY WOULD BE UTILIZED TO SUPPLEMENT THE MEDICAL KITS IN THE PATROL VEHICLES.</t>
  </si>
  <si>
    <t>DSMEDSUPP</t>
  </si>
  <si>
    <t>2YTM4X51575518</t>
  </si>
  <si>
    <t xml:space="preserve">
Sales Order #: 2269308916
RTD Screening Code: DOD
Reason for Rejection: YH</t>
  </si>
  <si>
    <t>THE WAKE COUNTY SHERIFF OFFICE WOULD LIKE TO OBTAIN THESE ITEMS.  THEY WILL BE USED IN THE RESTRAINT AND TRANSPORT OF PRISONERS.</t>
  </si>
  <si>
    <t>2YTM4X51575516</t>
  </si>
  <si>
    <t xml:space="preserve">
Sales Order #: 2269079371
RTD Screening Code: DOD
Reason for Rejection: YH</t>
  </si>
  <si>
    <t>THE WAKE COUNTY SHERIFF OFFICE WOULD LIKE TO OBTAIN THESE ITEMS.  THEY WOULD BE USED TO SUPPLEMENT MEDICAL KITS IN PATROL VEHICLES.</t>
  </si>
  <si>
    <t>2YTM4X51575514</t>
  </si>
  <si>
    <t xml:space="preserve">
Sales Order #: 2264914151
RTD Screening Code: DOD
Reason for Rejection: YH</t>
  </si>
  <si>
    <t>AM THE SUPPORT SERVICES CAPTAIN FOR THE BRISTOL TENNESSEE POLICE DEPARTMENT WHICH IS A LAW ENFORCEMENT AGENCY IN NORTHEAST TENNESSEE. I SEARCH THE RTD SITE FOR EQUIPMENT THAT COULD BENEFIT OUR DEPARTMENT IN OUR DAILY LAW ENFORCEMENT DUTIES. WHILE SEARCHING THE RTD SITE, I CAME ACROSS THIS MOTORIZED CART WHICH WOULD ASSIST OUR OFFICERS IN RESPONDING TO LOST OR MISSING CHILDREN OR PEOPLE IN THE LARGE MOUNTAINOUS PARK WE HAVE IN OUR JURISDICTION.</t>
  </si>
  <si>
    <t>2YTBJQ51645604</t>
  </si>
  <si>
    <t xml:space="preserve">
Sales Order #: 2259104794
RTD Screening Code: DOD
Reason for Rejection: YH</t>
  </si>
  <si>
    <t>THE HOWELL COUNTY SHERIFF'S OFFICE IS A LAW ENFORCEMENT AGENCY. HCSO WILL USE THE REQUESTED TRAILER TO TRANSPORT DEBRIS REMOVAL EQUIPMENT. THIS TRAILER WOULD RESPOND TO A MULTITUDE OF DIFFERENT NATURAL AND MAN-MADE DISASTERS HAULING HEAVY EQUIPMENT AND SUPPLIES. THESE INCLUDE FLOOD AND STORM DEBRIS REMOVAL EQUIPMENT LIKE SKID STEERS UTILITY VEHICLES, AND GENERATORS. TH ADDITION OF THIS TRAILER WOULD ALLOW FOR A SKID STEER TO BE LOADED AND READY TO RESPOND WHEN NEEDED.</t>
  </si>
  <si>
    <t>2YTFKX51575646</t>
  </si>
  <si>
    <t xml:space="preserve">
Sales Order #: 2269648151
RTD Screening Code: RTD2
Reason for Rejection: YH</t>
  </si>
  <si>
    <t>THE WAKE COUNTY SHERIFF OFFICE WOULD LIKE TO OBTAIN THESE ITEMS.  THEY WOULD BE USED THROUGHOUT THE DEPARTMENT FOR COOLING.</t>
  </si>
  <si>
    <t>2YTM4X51645965</t>
  </si>
  <si>
    <t xml:space="preserve">
Sales Order #: 2270020520
RTD Screening Code: DOD
Reason for Rejection: YG</t>
  </si>
  <si>
    <t xml:space="preserve">
TPD REQUEST THIS TRUCK TO USE IN DEPLOYING EQUIPMENT AND PERSONAL DURING TERROR AND MASS CASUALTY ATTACKS, SEVERE WEATHER AND SETTING UP SECURITY FOR LARGE SCALE EVENTS TO PREVENT TERROR AND MASS CASUALTY ATTACKS.
</t>
  </si>
  <si>
    <t>2YTL1551716340</t>
  </si>
  <si>
    <t xml:space="preserve">
Sales Order #: 2270632823
RTD Screening Code: DOD
Reason for Rejection: YH</t>
  </si>
  <si>
    <t>OUR LAW ENFORCEMENT AGENCY WOULD ASSIGN THIS VAN TO OUR DRUG ENFORCEMENT UNIT WHO WOULD UTILIZE THE VAN IN COMBATTING THE WAR ON DRUGS WHILE PERFORMING SURVEILLANCE FROM IT.</t>
  </si>
  <si>
    <t>2YTBJQ51786700</t>
  </si>
  <si>
    <t xml:space="preserve">
Sales Order #: 2268294537
RTD Screening Code: DOD
Reason for Rejection: YG</t>
  </si>
  <si>
    <t>THERMAL IMAGING CAMERAS WILL BE USED BY POLICE OFFICERS DURING PATROL OPERATIONS AND SEARCH AND RESCUE MISSIONS. THESE DEVICES HELP LOCATE MISSING PERSONS, FLEEING SUSPECTS, OR HIDDEN THREATS BY DETECTING HEAT SIGNATURES IN DARKNESS, WOODED AREAS, OR THROUGH SMOKE. THEY ENHANCE OFFICER SAFETY AND EFFECTIVENESS DURING NIGHTTIME OPERATIONS AND ARE VITAL FOR LIFESAVING AND TACTICAL RESPONSE IN ALL ENVIRONMENTS.</t>
  </si>
  <si>
    <t>2YTC8P51716727</t>
  </si>
  <si>
    <t>THIS VEHICLE WOULD BE USED AS A SPARE LAW ENFORCEMENT VEHICLE ON OUR DEPARTMENT FLEET.</t>
  </si>
  <si>
    <t>2YTRSC51787024</t>
  </si>
  <si>
    <t>2YTRSC51787023</t>
  </si>
  <si>
    <t xml:space="preserve">
Sales Order #: 2270683017
RTD Screening Code: DOD
Reason for Rejection: YG</t>
  </si>
  <si>
    <t>THESE WILL BE USED BY THE PORTSMOUTH POLICE DEPARTMENT AND ISSUED TO OFFICERS ASSIGNED TO THE TACTICAL UNIT TO ASSIST IN PROTECTING THEM FROM WEATHER CONDITIONS DURING LONG OPERATIONS AND SURVEILLANCE.</t>
  </si>
  <si>
    <t>2YTJVC51787013</t>
  </si>
  <si>
    <t>PORTSMOUTH POLICE DEPT (2YTJVC)</t>
  </si>
  <si>
    <t xml:space="preserve">
Sales Order #: 2270903060
RTD Screening Code: DOD
Reason for Rejection: YG</t>
  </si>
  <si>
    <t>DEA IS TASKED WITH ENFORCING FEDERAL DRUG STATUTES
 LEA HAS CONFIRMED SITE HAS BEEN CONTACTED AND ACCEPT CONDITION OF PROPERTY, RESPONSIBLE FOR EXECUTING STATE AND FEDERAL SEARCH WARRANTS IN ANY CONDITION. THIS EQUIPMENT REQUEST IS BEING MADE TO ENSURE THAT THE TACTICAL OPERATORS HAVE THE TECHNOLOGY NEEDED TO APPREHEND CRIMINALS. LEA HAS CONFIRMED SITE HAS BEEN CONTACTED AND ACCEPT CONDITION OF PROPERTY</t>
  </si>
  <si>
    <t>2YTRTP51857284</t>
  </si>
  <si>
    <t xml:space="preserve">
Sales Order #: 2271113920
RTD Screening Code: DOD
Reason for Rejection: Y9</t>
  </si>
  <si>
    <t>2YTJMH51927602</t>
  </si>
  <si>
    <t xml:space="preserve">
Sales Order #: 2271224525
RTD Screening Code: DOD
Reason for Rejection: Y9</t>
  </si>
  <si>
    <t>FOR USE BY LEA IN TACTICAL APPLICATIONS</t>
  </si>
  <si>
    <t>2YTMPA51927578</t>
  </si>
  <si>
    <t xml:space="preserve">
Sales Order #: 2271224524
RTD Screening Code: DOD
Reason for Rejection: Y9</t>
  </si>
  <si>
    <t xml:space="preserve">FOR USE BY LEA IN TACTICAL LOW LIGHT APPLICATIONS
</t>
  </si>
  <si>
    <t>2YTMPA51927577</t>
  </si>
  <si>
    <t xml:space="preserve">
Sales Order #: 2270899804
RTD Screening Code: DOD
Reason for Rejection: Y9</t>
  </si>
  <si>
    <t>2YTMPA51927576</t>
  </si>
  <si>
    <t xml:space="preserve">
Sales Order #: 2270899801
RTD Screening Code: DOD
Reason for Rejection: Y9</t>
  </si>
  <si>
    <t>2YTMPA51927575</t>
  </si>
  <si>
    <t xml:space="preserve">
Sales Order #: 2271224522
RTD Screening Code: DOD
Reason for Rejection: Y9</t>
  </si>
  <si>
    <t>2YTMPA51927574</t>
  </si>
  <si>
    <t>THE VEHICLE WOULD BE USED AS A BACK-UP PATROL LE VEHICLE TO BE USED FOR LE PURPOSES.</t>
  </si>
  <si>
    <t>2YTRSC51927659</t>
  </si>
  <si>
    <t xml:space="preserve">
Sales Order #: 2271029166
RTD Screening Code: DOD
Reason for Rejection: Y9</t>
  </si>
  <si>
    <t>FOR USE BY THE BASTROP COUNTY SHERIFF'S OFFICE FOR OPTIC READY SMALL ARMS.  THIS AGENCY HAS TRAINED TECHNICIANS CAPABLE OF REPAIR OPTIC IF BROKEN AND I HAVE CONTACTED THE DRMO SITE AND HAVE DETERMINED THE OPTICS ARE FUNCTIONAL.</t>
  </si>
  <si>
    <t>2YTN6A52207714</t>
  </si>
  <si>
    <t xml:space="preserve">
Sales Order #: 2270131164
RTD Screening Code: DOD
Reason for Rejection: Y9</t>
  </si>
  <si>
    <t>ITEMS WILL BE USED BY THE ORANGE COUNTY SHERIFF'S DEPARTMENT FOR THE PURPOSE OF PLACEMENT IN OUR NEW DISPATCH CENTER. THE LOCKERS WILL BE USED BY DISPATCHERS FOR STORAGE OF UNIFORMS AND EQUIPMENT BETWEEN DUTY SHIFTS.</t>
  </si>
  <si>
    <t>L0CKER,SECRETARY,AN</t>
  </si>
  <si>
    <t>2YT14Z51927775</t>
  </si>
  <si>
    <t xml:space="preserve">
Sales Order #: 2271232361
RTD Screening Code: DOD
Reason for Rejection: Y9</t>
  </si>
  <si>
    <t>THIS TRAILER WOULD BE USED BY OFFICERS OF THE TONTO APACHE POLICE DEPARTMENT FOR SEARCH AND RESCUE, LARGE OUTDOOR EVENTS SUCH AS CONCERTS, AND LARGE COMMUNITY EVENTS AS A BASE OF MOBILE OPERATIONS.</t>
  </si>
  <si>
    <t>2YTRQ751997856</t>
  </si>
  <si>
    <t xml:space="preserve">
Sales Order #: 2270886208
RTD Screening Code: DOD
Reason for Rejection: Y9</t>
  </si>
  <si>
    <t>THIS LAW ENFORCEMENT AGENCY WOULD UTILIZE THIS ITEM FOR RESPONSE TO CRITICAL INCIDENTS AS A COMMAND POST.  THIS ITEM WOULD BE USED BY SWORN LAW ENFORCEMENT UNITS ONLY.  THANK YOU FOR YOUR CONSIDERATION.</t>
  </si>
  <si>
    <t>2YTLQT51997858</t>
  </si>
  <si>
    <t xml:space="preserve">
Sales Order #: 2271232146
RTD Screening Code: DOD
Reason for Rejection: Y9</t>
  </si>
  <si>
    <t>THE SHERIDAN POLICE DEPARTMENT WILL USE THIS COMMAND TRAILER ON SCENE AT ACTIVE KILLER INCIDENTS, NARCOTIC INVESTIGATION SCENES, SEARCH AND RESCUE SCENES, LARGE DOWN TOWN EVENTS WHERE TERRORISM THREATS ARE HIGH, AND OTHER TIMES WHEN NEEDED.  OUR AGENCY CURRENTLY HAS NO COMMAND TRAILER AND WE OPERATE UNDER A PORTABLE 10 BY 10 POP UP TENT.  THIS WILL BE USED FOR LAW ENFORCEMENT PURPOSES ONLY.</t>
  </si>
  <si>
    <t>2YTK1451997896</t>
  </si>
  <si>
    <t xml:space="preserve">
Sales Order #: 2271232351
RTD Screening Code: DOD
Reason for Rejection: Y9</t>
  </si>
  <si>
    <t>THE RCSO NEEDS THIS EQUIPMENT TO ESTABLISH A MOBILE COMMAND POST AT THE SCENE OF AN INCIDENT OR PLANNED EVENT, ENABLING THE AGENCY TO COORDINATE OPERATIONS, COMMUNICATE EFFECTIVELY, AND MANAGE RESOURCES EFFICIENTLY.</t>
  </si>
  <si>
    <t>2YTJ7851997887</t>
  </si>
  <si>
    <t xml:space="preserve">
Sales Order #: 2271232362
RTD Screening Code: DOD
Reason for Rejection: Y9</t>
  </si>
  <si>
    <t>THIS UNIT WOULD BE USED BY THE OCEANA COUNTY SHERIFF'S OFFICE TACTICAL TEAM FOR HAULING EQUIPMENT AND USING AS A COMMAND CENTER DURING LARGE EMERGENCY INCIDENTS.</t>
  </si>
  <si>
    <t>2YT1XS51997898</t>
  </si>
  <si>
    <t xml:space="preserve">
Sales Order #: 2271191458
RTD Screening Code: DOD
Reason for Rejection: Y9</t>
  </si>
  <si>
    <t>REQUESTED BY NORTH MYRTLE BEACH POLICE DEPARTMENT TO BE USED BY NMB POLICE OFFICERS DURING POST HURRICANE OPERATIONS, LARGE SCALE EVENTS AND OTHER NATURAL DISASTERS TO PROVIDE A MOBILE AREA TO RELIEVE OFFICERS THAT IS OUT OF THE ELEMENTS.</t>
  </si>
  <si>
    <t>2YT1PG51997848</t>
  </si>
  <si>
    <t>NORTH MYRTLE BEACH PD (2YT1PG)</t>
  </si>
  <si>
    <t xml:space="preserve">
Sales Order #: 2271283202
RTD Screening Code: DOD
Reason for Rejection: Y9</t>
  </si>
  <si>
    <t>ITEM WILL BE USED BY MEMBERS OF THE TOWN OF KENT POLICE DEPARTMENT DURING LARGE SCALE INCIDENTS AS A COMMAND CENTER TO MAINTAIN PUBLIC ORDER AND PUBLIC AND OFFICER SAFETY.</t>
  </si>
  <si>
    <t>2YTF5U51997897</t>
  </si>
  <si>
    <t xml:space="preserve">
Sales Order #: 2271232360
RTD Screening Code: DOD
Reason for Rejection: Y9</t>
  </si>
  <si>
    <t>THE HUACHUCA CITY POLICE DEPARTMENT WILL USE COMMAND TRAILER TO SUPPORT TOWN FUNCTIONS AND SURROUNDING JURISDICTIONS WITH INCIDENT COMMAND INCIDENTS.</t>
  </si>
  <si>
    <t>2YTPYM51997902</t>
  </si>
  <si>
    <t>HUACHUCA CITY POLICE DEPT (2YTPYM)</t>
  </si>
  <si>
    <t xml:space="preserve">
Sales Order #: 2271232338
RTD Screening Code: DOD
Reason for Rejection: Y9</t>
  </si>
  <si>
    <t>THE HOWELL COUNTY SHERIFF'S OFFICE (HCSO) IS A LAW ENFORCEMENT AGENCY THAT CURRENTLY LACKS A MOBILE COMMAND CENTER. THE REQUESTED TRAILER WOULD FILL THIS CRITICAL GAP, SERVING AS A COMMAND HUB DURING EMERGENCIES LIKE NATURAL DISASTERS, MISSING PERSONS CASES, ACTIVE SHOOTER SITUATIONS, AND OTHER CRISES. ITS DEPLOYMENT WOULD ENHANCE HCSO'S CAPABILITIES AND BENEFIT NOT ONLY HOWELL COUNTY BUT ALSO SURROUNDING. HOWELL COUNTY IS CURRENTLY UNDER A FEDERAL DISASTER DECLARATION.</t>
  </si>
  <si>
    <t>2YTFKX51997864</t>
  </si>
  <si>
    <t xml:space="preserve">
Sales Order #: 2271232349
RTD Screening Code: DOD
Reason for Rejection: Y9</t>
  </si>
  <si>
    <t>THE HALIFAX COUNTY SHERIFFS OFFICE  NEEDS THIS RESOURCE AND WILL BE UTILIZED FOR MOBILE COMMAND CENTER DURING SEARCH AND RESCUES OF RUNAWAY MISSING CHILDREN AND ELDERLY ALONG WITH ANY MAJOR INCIDENT  SUCH AS  INCLEMENT WEATHER FLOODING WITH MAJOR POWER OUTAGES HURRICANES AND OTHER NATURAL DISASTERS OR WHEN AN ON SCENE COMMAND CENTER WOULD BE NEEDED SUCH AS ACTIVE SHOOTER BOMB THREAT ETC</t>
  </si>
  <si>
    <t>2YTEZS51997901</t>
  </si>
  <si>
    <t>HALIFAX CSO (2YTEZS)</t>
  </si>
  <si>
    <t xml:space="preserve">
Sales Order #: 2271192772
RTD Screening Code: DOD
Reason for Rejection: Y9</t>
  </si>
  <si>
    <t>THE FULTON COUNTY SHERIFFS OFFICE IS REQUESTING THIS COMMAND TRAILER SO IT CAN BE USED BY DEPUTIES DURING CRITICAL INCIDENTS. THIS WILL ALLOW FOR EFFECTIVE COMMUNICATION DURING INCIDENTS AND ALLOW FOR COMMAND POST TO BE ESTABLISHED.</t>
  </si>
  <si>
    <t>2YTEED51997847</t>
  </si>
  <si>
    <t xml:space="preserve">
Sales Order #: 2271135578
RTD Screening Code: DOD
Reason for Rejection: Y9</t>
  </si>
  <si>
    <t>FOREST PARK PD WILL USE THIS TRAILER FOR NUMEROUS EVENTS FOR COMMAND CENTER IN TOWN. COMMAND OFFICERS WHICH ARE FULL TIME AND HAVE RANK OF LIEUTENANT OR ABOVE WILL USE THIS TRAILER. FOREST PARK PD WILL ALSO USE THIS TRAILER FOR MULIT-AGENCY GANG TASK FORCE CALLED WEDGE AND REGIONAL RIOT TEAM CALLED NIPAS.</t>
  </si>
  <si>
    <t>2YTD6U51997908</t>
  </si>
  <si>
    <t xml:space="preserve">
Sales Order #: 2271191449
RTD Screening Code: DOD
Reason for Rejection: Y9</t>
  </si>
  <si>
    <t>TRAILER FOR USE BY ECSO DEPUTIES AS A TRAINING HUB FOR MOBILE TRAINING EXERCISES</t>
  </si>
  <si>
    <t>2YTDTZ51997884</t>
  </si>
  <si>
    <t xml:space="preserve">
Sales Order #: 2271135594
RTD Screening Code: DOD
Reason for Rejection: Y9</t>
  </si>
  <si>
    <t xml:space="preserve">THIS TRAILER WOULD BE USED FOR THE POLICE DEPARTMENT AND POLICE OFFICERS FOR INCIDENT RESPONSE AND EMERGENCY OPERATIONS.  NO POLICE DEPARTMENT IN OUR AREA HAS A COMMAND TRAILER LIKE THIS RESOURCE SO IT WOULD PROVIDE A RESOURCE WE DO NOT CURRENTLY HAVE ACCESS TO CURRENTLY.  
</t>
  </si>
  <si>
    <t>2YTC8P51997860</t>
  </si>
  <si>
    <t xml:space="preserve">
Sales Order #: 2271031652
RTD Screening Code: DOD
Reason for Rejection: Y9</t>
  </si>
  <si>
    <t>THE DALE COUNTY SHERIFF'S OFFICE IS REQUESTING THIS TRAILER TO REPLACE OUR UNSERVICEABLE MOBILE COMMAND. OUR DEPUTIES WILL USE IT TO RESPOND TO CRIME SCENES, NATURAL DISASTERS, SUPPORTING SURROUNDING AGENCIES, AND COMMUNITY EVENTS. THANK YOU FOR YOUR CONSIDERATION.</t>
  </si>
  <si>
    <t>2YTC2851997878</t>
  </si>
  <si>
    <t xml:space="preserve">
Sales Order #: 2271369112
RTD Screening Code: DOD
Reason for Rejection: Y9</t>
  </si>
  <si>
    <t>THE COLUMBUS POLICE DEPARTMENT WILL USE THIS TRAILER AS A COMMAND POST WHILE RESPONDING TO NATURAL DISASTERS AND WHILE MANAGING LARGE SCENES IN THE COMMUNITY.</t>
  </si>
  <si>
    <t>2YTCPL51997853</t>
  </si>
  <si>
    <t xml:space="preserve">
Sales Order #: 2271362910
RTD Screening Code: DOD
Reason for Rejection: Y9</t>
  </si>
  <si>
    <t>THE TOWN OF CARMEL POLICE DEPARTMENT WILL USE THE TRAILER AS A COMMAND TRAILER FOR BOTH THE SWAT TEAM AS WELL AS FOR LARGE EVENTS THAT THE TOWN HOSTS THROUGHOUT THE YEAR. WE CURRENTLY DO NOT HAVE ANY PHYSICAL COMMAND POST AND DO NOT HAVE THE FUNDS TO PURCHASE ONE.</t>
  </si>
  <si>
    <t>2YTBZS51997895</t>
  </si>
  <si>
    <t xml:space="preserve">
Sales Order #: 2271283199
RTD Screening Code: DOD
Reason for Rejection: Y9</t>
  </si>
  <si>
    <t>I AM THE SUPPORT SERVICES CAPTAIN WITH THE BRISTOL TENNESSEE POLICE DEPARTMENT. A SMALLER LAW ENFORCEMENT AGENCY LOCATED IN NORTHEAST TENNESSEE. THIS TRAILER WOULD BE SET UP AND PROVIDE MOBILE RESPITE AND A MEETING AREA WHEN WE HAVE LOST OR MISSING CHILDREN, DURING A NATURAL DISASTER, DURING STAND-OFF SITUATIONS, DURING HIGH-RISK DRUG SEARCH WARRANTS, OR DURING ACTIVE SHOOTER SITUATIONS TO PROVIDE RELIEF FOR OFFICERS DURING ANY OF THESE OCCURRENCES.</t>
  </si>
  <si>
    <t>2YTBJQ51997905</t>
  </si>
  <si>
    <t xml:space="preserve">
Sales Order #: 2271031658
RTD Screening Code: DOD
Reason for Rejection: Y9</t>
  </si>
  <si>
    <t>WE ARE THE BOAZ POLICE DEPT IN BOAZ, ALABAMA. CURRENTLY, WE DO NOT OUTSIDE PORTABILITY. WE CANNOT SET UP AND COMMAND EVENTS FROM OTHER LOCATIONS AND EXTEND OUR COVERAGE IN ANY EVENT OF NOTE THAT MAY REQUIRE POLICE TO BE STATIONED NEARBY. WE HAVE 26 OFFICERS WITH ONLY PATROL UNITS. THIS TRAILER WOULD ALLOW US TO POST ADJACENT TO EMERGENCIES AND EVENTS, PROVIDING GREATER SERVICE TO OUR COMMUNITY. THANK YOU FOR YOUR CONSIDERATION.</t>
  </si>
  <si>
    <t>2YTBCH51997904</t>
  </si>
  <si>
    <t xml:space="preserve">
Sales Order #: 2271191486
RTD Screening Code: DOD
Reason for Rejection: Y9</t>
  </si>
  <si>
    <t>THESE CAMERAS WILL BE USED BY PATROL OFFICERS TO PHOTOGRAPH CRIME SCENES AS WELL AS FOR TAKING PICTURES OF DRUG EXCHANGES WHEN WORKING NARCOTICS CASES.  
I HAVE CONTACTED THE BASE AND WE ARE SATISFIED WITH THE CONDITION OF THE CAMERAS.</t>
  </si>
  <si>
    <t>2YTHDF51928006</t>
  </si>
  <si>
    <t>THE GUAM CUSTOMS AND QUARANTINE AGENCY REQUIRES A LABEL MAKER TO IMPROVE THE ORGANIZATION, TRACKING, AND IDENTIFICATION OF EQUIPMENT, ASSETS, AND STORAGE ITEMS WITHIN AGENCY FACILITIES. THE LABEL MAKER WILL SUPPORT EFFICIENT INVENTORY MANAGEMENT, ENSURE COMPLIANCE WITH PROPERTY ACCOUNTABILITY STANDARDS, AND REDUCE THE RISK OF MISPLACED OR UNIDENTIFIED ITEMS. IT WILL ALSO STREAMLINE OPERATIONS BY PROVIDING CLEAR AND DURABLE LABELS FOR OFFICE SUPPLIES, EVIDENCE, AND OPERATIONAL EQUIPMENT, ENHANCIN</t>
  </si>
  <si>
    <t>LABEL MAKER</t>
  </si>
  <si>
    <t>2YTC2G51998116</t>
  </si>
  <si>
    <t>GUAM CUSTOMS AND QUARANTINE AGENCY (2YTC2G)</t>
  </si>
  <si>
    <t>GU</t>
  </si>
  <si>
    <t xml:space="preserve">
Sales Order #: 2271415639
RTD Screening Code: DOD
Reason for Rejection: Y9</t>
  </si>
  <si>
    <t>2YTRVE51998229</t>
  </si>
  <si>
    <t xml:space="preserve">
Sales Order #: 2271415638
RTD Screening Code: RTD2
Reason for Rejection: Y9</t>
  </si>
  <si>
    <t>HANDLE,MOP</t>
  </si>
  <si>
    <t>2YTRVE51918241</t>
  </si>
  <si>
    <t>FREDERICK COUNTY SHERIFF'S OFFICE A LESO AGENCY THAN CAN USE THESE ROLLS OF MASKING TAPE TO MARK EMPTY SCUBA TANK BOTTLES FOR THE DIVE TEAM AFTER BEING USED FOR CALLS FOR SERVICE FOR BRIDGE INSPECTIONS, HUMAN REMAINS, EVIDENCE SECRETED IN WATER AFTER A CRIME.</t>
  </si>
  <si>
    <t>2YTEBY51998262</t>
  </si>
  <si>
    <t xml:space="preserve">
Sales Order #: 2270582762
RTD Screening Code: DOD
Reason for Rejection: Y9</t>
  </si>
  <si>
    <t>FOR USE BY THE ANCHORAGE POLICE DEPARTMENT BOMB SQUAD. THIS UNMANNED GROUND VEHICLE WILL BE UTILIZED FOR REMOTE OPERATIONS FOR RECON AGAINST IMPROVISED EXPLOSIVE DEVICES OR UNEXPLODED ORDNANCE. THIS WILL REPLACE OBSOLETE SYSTEMS AND USED IN ENVIRONMENTS INSTEAD OF PERSONNEL.</t>
  </si>
  <si>
    <t>2YTN5E51926485</t>
  </si>
  <si>
    <t xml:space="preserve">
Sales Order #: 2271040648
RTD Screening Code: DOD
Reason for Rejection: Y9</t>
  </si>
  <si>
    <t>CART TO BE USED DURING FESTIVALS AND COMMUNITY EVENTS FOR OFFICERS TO PATROL WHEN A NORMAL POLICE VEHICLE WOULD BE UNABLE TO GET TO.</t>
  </si>
  <si>
    <t>2YTNP751927518</t>
  </si>
  <si>
    <t xml:space="preserve">
Sales Order #: 2271109077
RTD Screening Code: DOD
Reason for Rejection: Y9</t>
  </si>
  <si>
    <t>2YTKH151927522</t>
  </si>
  <si>
    <t xml:space="preserve">
Sales Order #: 2271040675
RTD Screening Code: DOD
Reason for Rejection: Y9</t>
  </si>
  <si>
    <t>TRACTOR WILL BE USED BY THE GREENE COUNTY SHERIFFS OFFICE TO REPLACE AN OLDER MODEL WE HAD TO SALE DUE TO TRANSMISSION ISSUES.  THIS TRACTOR WILL BE USED TO PULL A BUSHHOG AND MOW AROUND OUR FIRING RANGE AND RANGE PROPERTY.</t>
  </si>
  <si>
    <t>2YTET651927443</t>
  </si>
  <si>
    <t xml:space="preserve">
Sales Order #: 2271040449
RTD Screening Code: DOD
Reason for Rejection: Y9</t>
  </si>
  <si>
    <t>GENERAL PURPOSE UTV FOR USE AT ECSO GARAGE BY DEPUTIES ASSIGNED THERE TO MOVE VEHICLE PARTS ON THE GROUNDS.</t>
  </si>
  <si>
    <t>2YTDTZ51927436</t>
  </si>
  <si>
    <t xml:space="preserve">
Sales Order #: 2270854068
RTD Screening Code: DOD
Reason for Rejection: Y9</t>
  </si>
  <si>
    <t>OUR SWAT TEAM USES THESE BLUE CHEM LIGHTS FOR MARKING CASUALTIES AND CCPS IN TRAINING AND OPERATIONS.  OUR MISSION SET INCLUDES COUNTER DRUG SEARCH WARRANTS, COUNTER TERRORISM, AND OTHER TACTICAL LAW ENFORCEMENT OPERATIONS.</t>
  </si>
  <si>
    <t>2YTP2751927526</t>
  </si>
  <si>
    <t xml:space="preserve">
Sales Order #: 2271040676
RTD Screening Code: DOD
Reason for Rejection: Y9</t>
  </si>
  <si>
    <t>THE BRISTOL TENNESSEE POLICE DEPARTMENT WOULD USE THIS EQUIPMENT TO IMPROVE THE DIRT ROAD TO AND AROUND OUR RANGE FOR BETTER ACTIVE SHOOTER TRAINING. THE BASE STATES THIS RUNS AND THE EQUIPMENT IS USED FOR DIFFERENT PURPOSES THAN OTHER SIMILAR EQUIPMENT PUT IN FOR.</t>
  </si>
  <si>
    <t>2YTBJQ51927546</t>
  </si>
  <si>
    <t xml:space="preserve">
Sales Order #: 2270896688
RTD Screening Code: DOD
Reason for Rejection: Y9</t>
  </si>
  <si>
    <t>THE TEHAMA COUNTY SHERIFF'S OFFICE WILL USE FIRST AID KIT, INDIVIDUAL AS ISSUED GEAR FOR DEPUTY AND K-9 USE TO TREAT INJURIES IN THE FIELD.</t>
  </si>
  <si>
    <t>2YTLQ751927663</t>
  </si>
  <si>
    <t xml:space="preserve">
Sales Order #: 2270896703
RTD Screening Code: DOD
Reason for Rejection: Y9</t>
  </si>
  <si>
    <t>WILL BE USED BY STARR COUNTY SHERIFF'S OFFICE DEPUTIES FOR DUTY USE. I ALREADY SPOKE TO DLA SITE ABOUT THESE ITEMS. THEY ARE GOOD TO GO.</t>
  </si>
  <si>
    <t>2YTLFY51927658</t>
  </si>
  <si>
    <t xml:space="preserve">
Sales Order #: 2270974254
RTD Screening Code: DOD
Reason for Rejection: Y9</t>
  </si>
  <si>
    <t>THE SPRINGFIELD TOWNSHIP POLICE DEPARTMENT HAS BEEN LOOKING FOR A TRAILER JUST LIKE THIS IN ORDER TO UTILIZE AS A MOTOR CARRIER ENFORCEMENT UNIT, TO WHICH WILL HAUL AND STORE ALL OF OUR EQUIPMENT TO WEIGH AND INSPECT COMMERCIAL VEHICLES.  THE EQUIPMENT USED FOR SUCH IS TOO LARGE AND HEAVY FOR OUR CURRENT PATROL VEHICLES AND WE WOULD LIKE TO KEEP IT ALL ORGANIZED, CLEAN, AND READY TO USE ONLY BY CERTIFIED OFFICERS.  THIS TRAILER WILL BE KEPT NEXT TO THE POLICE GARAGE BAY.</t>
  </si>
  <si>
    <t>2YTLEC51927648</t>
  </si>
  <si>
    <t>2YTRSC51927660</t>
  </si>
  <si>
    <t xml:space="preserve">
Sales Order #: 2271040444
RTD Screening Code: DOD
Reason for Rejection: Y9</t>
  </si>
  <si>
    <t>THE CART WILL BE USED BY THE POLICE DEPARTMENT TO PATROL THE HIGH SCHOOL AND MIDDLE SCHOOL CAMPUS THAT ENCOMPASSES 16 ACRES.</t>
  </si>
  <si>
    <t>2YTR8351927642</t>
  </si>
  <si>
    <t xml:space="preserve">
Sales Order #: 2270770655
RTD Screening Code: DOD
Reason for Rejection: Y9</t>
  </si>
  <si>
    <t>THIS TRAILER WILL BE UTILIZED BY THE ONEIDA COUNTY SHERIFF'S OFFICE FOR TRANSPORTING OFF-ROAD VEHICLES AND EQUIPMENT TO VARIOUS LOCATIONS FOR PATROL AND EMERGENCY SITUATIONS. THE ENCLOSED TRAILER WILL HELP KEEP EQUIPMENT MORE CLEAN AND SECURE.</t>
  </si>
  <si>
    <t>2YT13N51927647</t>
  </si>
  <si>
    <t>ONEIDA COUNTY SHERIFFS OFFICE (2YT13N)</t>
  </si>
  <si>
    <t xml:space="preserve">
Sales Order #: 2271040634
RTD Screening Code: DOD
Reason for Rejection: Y9</t>
  </si>
  <si>
    <t>THE TN LAW ENFORCEMENT ACADEMY TRAINS LAW ENFORCEMENT OFFICERS FROM STATE, CITY AND COUNTY AGENCIES FROM ACROSS THE STATE. THIS CART WILL BE USED TO TRANSPORT EQUIPMENT AND STAFF FROM ONE TRAINING SITE TO OTHERS.  IT WILL ALSO HELP US MOVE EQUIPMENT ON THE DRIVING TRACK AND FIREARMS RANGE.  INSTRUCTORS WILL ALSO BE ABLE TO MOVE FOOD AND BEVERAGES TO TRAINING SITES FOR THE CADETS.</t>
  </si>
  <si>
    <t>2YTP3551927615</t>
  </si>
  <si>
    <t xml:space="preserve">
Sales Order #: 2271113930
RTD Screening Code: DOD
Reason for Rejection: Y9</t>
  </si>
  <si>
    <t>THESE ITEMS WOULD BE ISSUED TO LAW ENFORCEMENT OFFICERS WITH OUR DEPARTMENT SWAT TEAM. THESE ITEMS WOULD BE USED TO REPLACE DATED EQUIPMENT AND OUTFIT NEWER SWAT TEAM MEMBERS. THE QUANTITY REQUESTED REFLECTS THE NUMBER OF OFFICERS ON THE DEPARTMENT SWAT TEAM. 
ADDITIONALLY, THESE ITEMS HELP IMPROVE OFFICER PREPAREDNESS FOR EVENTS WHERE FIRST AID IS NEEDED IN A TIMELY MANOR.</t>
  </si>
  <si>
    <t>2YTFXU51927644</t>
  </si>
  <si>
    <t xml:space="preserve">
Sales Order #: 2271136489
RTD Screening Code: DOD
Reason for Rejection: Y9</t>
  </si>
  <si>
    <t>TO BE USED BY THE HAMILTON POLICE DEPARTMENT FOR RANGE MAINTENANCE AND TRANSPORTING TARGETS, TARGET FRAMES, TRAFFIC CONES ETC.</t>
  </si>
  <si>
    <t>2YTE1Z51927632</t>
  </si>
  <si>
    <t>HAMILTON POLICE DEPT (2YTE1Z)</t>
  </si>
  <si>
    <t xml:space="preserve">
Sales Order #: 2271056628
RTD Screening Code: DOD
Reason for Rejection: Y9</t>
  </si>
  <si>
    <t>FOR USE BY THE LAW ENFORCEMENT AGENCY ONLY, THIS ITEM WILL HELP IN IMPROVING OUR EXISTING STORAGE CAPABILITIES AS WELL AS OUR MEANS OF TRANSPORTATION FOR OUR POLICE BICYCLES AND OTHER RELATED POLICE EQUIPMENT. IF PROCURED, THE ITEM WILL ONLY BE UTILIZED BY LAW ENFORCEMENT PERSONNEL OF THIS AGENCY AND WILL BE SPECIFICALLY USED TO TRANSPORT AND STORE POLICE EQUIPMENT ITEMS TO AND FROM SPECIAL EVENTS WHERE THEY WOULD BE NEEDED TO BE DEPLOYED.</t>
  </si>
  <si>
    <t>2YTQQK51927620</t>
  </si>
  <si>
    <t>EGG HARBOR TOWNSHIP POLICE DEPT (2YTQQK)</t>
  </si>
  <si>
    <t>ITEMS WOULD BE USED FOR LEO PURPOSES ONLY. FBI BA IS REQUESTING TRAILER TO UTILIZE FOR STORAGE AND TRANSPORT OF TRAINING EQUIPMENT USED TO PROVIDE TRAINING TO STATE AND LOCAL LAW ENFORCEMENT AGENCIES AS WELL AS INTERNAL FBI TRAINING. ALL FBI BA TRAINING SITES ARE VARYING DISTANCES AWAY FROM HQ OFFICE AND REQUIRE TRAVEL TO AND FROM.</t>
  </si>
  <si>
    <t>2YTRJ351927617</t>
  </si>
  <si>
    <t>DEA IS CONDUCTING FEDERAL SEARCH WARRANTS WEEKLY, ON AN OPERATIONAL PACE FOR 150 EVENTS THAT INVOLVE HIGH-RISK LAW ENFORCEMENT WORK 24-7. THESE ITEMS ARE TO ENSURE THE SAFETY OF THE TACTICAL OPERATORS. LEA HAS CONFIRMED SITE
HAS BEEN CONTACTED AND ACCEPT CONDITION OF PROPERTY</t>
  </si>
  <si>
    <t>2YTRTP51927618</t>
  </si>
  <si>
    <t xml:space="preserve">
Sales Order #: 2271040433
RTD Screening Code: DOD
Reason for Rejection: Y9</t>
  </si>
  <si>
    <t>THE TOWN OF CARMEL POLICE DEPARTMENT WILL USE THESE IFAK'S TO SUPPLY OFFICERS WITH LIFESAVING MEDICAL EQUIPMENT TO BE USED FOR OFFICERS AND CIVILIANS.</t>
  </si>
  <si>
    <t>2YTBZS51927624</t>
  </si>
  <si>
    <t xml:space="preserve">
Sales Order #: 2270896700
RTD Screening Code: DOD
Reason for Rejection: Y9</t>
  </si>
  <si>
    <t>THE BENTON HARBOR DEPT. OF PUBLIC SAFETY WILL USE THIS TO PATROL THE WATERWAYS AROUND OUR AREA AS WELL AS ASSIST IN NARCOTICS ENFORCEMENT AND SEARCH AND RESCUE, THIS BOAT WILL BE AVAILABLE TO OTHER SURROUNDING AGENCIES. DAL DS BARSTOW HAS BEEN CONTACTED ABOUT THIS ITEM.</t>
  </si>
  <si>
    <t>BOAT,FLATBOTTOM</t>
  </si>
  <si>
    <t>2YTA5D51927654</t>
  </si>
  <si>
    <t>TO BE ISSUED TO MEMBERS OF THE US MARSHALS FUGITIVE TASK FORCE</t>
  </si>
  <si>
    <t>2YTMU151927745</t>
  </si>
  <si>
    <t>DEA SPECIAL RESPONSE TEAM SRT IS A HIGHLY TRAINED CADRE OF DEA SPECIAL AGENTS RESPONSIBLE FOR EXECUTING STATE AND FEDERAL SEARCH WARRANTS IN ANY CONDITION, AND AT ANY TIME. THIS EQUIPMENT REQUEST IS BEING MADE TO ENSURE THE SAFETY OF THE TACTICAL OPERATORS. LEA HAS CONFIRMED THE SITE HAS BEEN CONTACTED AND ACCEPTED CONDITION OF PROPERTY</t>
  </si>
  <si>
    <t>2YTRTP51927733</t>
  </si>
  <si>
    <t xml:space="preserve">
Sales Order #: 2271232161
RTD Screening Code: DOD
Reason for Rejection: Y9</t>
  </si>
  <si>
    <t xml:space="preserve">SPECIAL RESPONSE TEAM SRT IS A HIGHLY TRAINED CADRE OF DEA SPECIAL AGENTS RESPONSIBLE FOR EXECUTING STATE AND FEDERAL SEARCH WARRANTS IN ANY CONDITION, AND AT ANY TIME. THIS EQUIPMENT REQUEST IS BEING MADE TO ENSURE THE SAFETY OF THE TACTICAL OPERATORS. LEA HAS CONFIRMED SITE HAS BEEN CONTACTED AND ACCEPT CONDITION OF PROPERTY
</t>
  </si>
  <si>
    <t>2YTRTP51927713</t>
  </si>
  <si>
    <t xml:space="preserve">
Sales Order #: 2271445012
RTD Screening Code: DOD
Reason for Rejection: Y9</t>
  </si>
  <si>
    <t>THIS WILL BE USED BY LAW ENFORCEMENT TO MAINTAIN THE JEFFERSON COUNTY SHERIFF'S OFFICE ANIMAL CRUELTY FARM AND SHOOTING RANGES AT THE TRAINING FACILITY</t>
  </si>
  <si>
    <t>2YTFX451927812</t>
  </si>
  <si>
    <t xml:space="preserve">
Sales Order #: 2271031653
RTD Screening Code: DOD
Reason for Rejection: Y9</t>
  </si>
  <si>
    <t>2YTFX451927811</t>
  </si>
  <si>
    <t>2YTRTP51927801</t>
  </si>
  <si>
    <t>2YTRTP51927800</t>
  </si>
  <si>
    <t>2YTRTP51927799</t>
  </si>
  <si>
    <t>2YTRTP51927798</t>
  </si>
  <si>
    <t>2YTRTP51927797</t>
  </si>
  <si>
    <t>2YTRTP51927796</t>
  </si>
  <si>
    <t>2YTRTP51927795</t>
  </si>
  <si>
    <t>2YTRTP51927794</t>
  </si>
  <si>
    <t>2YTRTP51927793</t>
  </si>
  <si>
    <t>2YTRTP51927792</t>
  </si>
  <si>
    <t>2YTRTP51927791</t>
  </si>
  <si>
    <t>2YTRTP51927788</t>
  </si>
  <si>
    <t>2YTRTP51927787</t>
  </si>
  <si>
    <t>2YTRTP51927786</t>
  </si>
  <si>
    <t xml:space="preserve">
Sales Order #: 2271514131
RTD Screening Code: DOD
Reason for Rejection: Y9</t>
  </si>
  <si>
    <t>I AM AWARE OF THE CONDITION AND HAVE CONFIRMED IT, THIS WILL BE ISSUED TO POLICE SEARCH AND RESCUE FOR FIELD USE.</t>
  </si>
  <si>
    <t>GPS EQUIPMENT, DEMIL D</t>
  </si>
  <si>
    <t>DSGPS0001</t>
  </si>
  <si>
    <t>2YTD9851927828</t>
  </si>
  <si>
    <t xml:space="preserve">
Sales Order #: 2271232347
RTD Screening Code: DOD
Reason for Rejection: Y9</t>
  </si>
  <si>
    <t>THIS LAW ENFORCEMENT AGENCY WOULD UTILIZE THESE ITEMS FOR IT'S SPECIAL RESPONSE TEAM MADE OF SWORN LAW ENFORCEMENT OFFICERS WHO ARE CROSS TRAINED AS EMERGENCY MEDICAL TECHNICIANS.  THESE ITEMS WOULD BE USED DURING CRITICAL INCIDENTS AND RESPONSE TO MEDICAL EMERGENCIES WHILE THE TEAM IS DEPLOYED.  THANK YOU FOR YOUR CONSIDERATION.</t>
  </si>
  <si>
    <t>TOURNIQUET KIT,JUNC</t>
  </si>
  <si>
    <t>2YTLQT51927857</t>
  </si>
  <si>
    <t xml:space="preserve">
Sales Order #: 2271290424
RTD Screening Code: DOD
Reason for Rejection: Y9</t>
  </si>
  <si>
    <t>THE MT ORAB POLICE DEPARTMENT WOULD LIKE TO ACQUIRE THIS BULLDOZER. THIS WOULD BE TAKEN TO OUR OUTDOOR RANGE AND STORED THERE. WE HAVE PLANS TO BEGIN A LIVE SHOOT HOUSE ON A HILL SIDE AND WILL NEED TO MOVE A LOT OF DIRT. THIS DOZER WOULD BE VITAL FOR THAT PROJECT.</t>
  </si>
  <si>
    <t>2YTH5S51997877</t>
  </si>
  <si>
    <t xml:space="preserve">
Sales Order #: 2271438357
RTD Screening Code: DOD
Reason for Rejection: Y9</t>
  </si>
  <si>
    <t>LEVEL PLAINS POLICE DEPT WOULD UTLIZE IN EVERYDAY POLICE WORK AND ALSO TO AID DURING EMERGENCY SITUATIONS TO HELP WITH SEARCH AND RESCUE</t>
  </si>
  <si>
    <t>MULTI-TOOL,FOLDING,POCKET</t>
  </si>
  <si>
    <t>2YTRNR51997891</t>
  </si>
  <si>
    <t xml:space="preserve">
Sales Order #: 2271290438
RTD Screening Code: DOD
Reason for Rejection: Y9</t>
  </si>
  <si>
    <t>THE ATV WILL BE USED BY THE ARP POLICE DEPARTMENT FOR LAW ENFORCEMENT PURPOSES ONLY. THE CITY OF ARP IS A FARMING COMMUNITY WITH LARGE TRACKS OF LAND. THE ATV WILL BE USED BY OFFICERS TO SEARCH FOR ELDERLY WITH DEMENTIA, MISSING CHILDREN AND SUSPECTS. THE LAST 2 ATVS THAT WE AWARDED TO ARP PD WERE BEYOND REPAIR.</t>
  </si>
  <si>
    <t>2YTANX51997885</t>
  </si>
  <si>
    <t xml:space="preserve">
Sales Order #: 2271438368
RTD Screening Code: DOD
Reason for Rejection: Y9</t>
  </si>
  <si>
    <t>TO ASSIST IN THE AID OF SEARCHING FOR MISSING PERSONS IN REMOTE AND HARD TO REACH AREAS.</t>
  </si>
  <si>
    <t>2YTBCH51997915</t>
  </si>
  <si>
    <t xml:space="preserve">
Sales Order #: 2271445015
RTD Screening Code: DOD
Reason for Rejection: Y9</t>
  </si>
  <si>
    <t>WE ARE THE BOAZ POLICE DEPARTMENT. WE ARE CURRENTLY BUILDING AND GATHERING TOOLS AND MACHINES FOR A MECHANIC SHOP TO REPAIR AND MAINTAIN OUR POLICE VEHICLES. THIS RECLAIMER WOULD ALLOW US TO DO AIR CONDITIONING WORK ON OUR VEHICLES. INSTEAD OF RELYING ON HIGH PRICED OUTSIDE MECHANIC SOURCES. PLUS THE REUSE OF VALUABLE FREON. WE WOULD LIKE OUR SHOP TO BE AS 21ST CENTURY AS POSSIBLE. THIS WOULD HELP START THAT PROCESS. THANK YOU FOR YOUR CONSIDERATION AND ASSISTANCE</t>
  </si>
  <si>
    <t>RECLAIMER,REFRIGERA</t>
  </si>
  <si>
    <t>2YTBCH51927916</t>
  </si>
  <si>
    <t xml:space="preserve">
Sales Order #: 2271290457
RTD Screening Code: DOD
Reason for Rejection: Y9</t>
  </si>
  <si>
    <t>ITEM WILL BE USED BY THE ERATH COUNTY SHERIFF OFFICE FOR LAW ENFORCEMENT USE ONLY. ITEM WILL BE USED DURING SEARCH, RESCUE, RECOVERY AFTER NATURAL DISASTER OR TERRORIST ATTACK. THIS WILL ALLOW US TO GET TO VICTIMS AND CITIZEN QUICKER AND WITHOUT MESSING UP COUNTY UNITS WHICH WOULD CAUSE INCREASE IN REPAIR AND COST TO THE COUNTY.</t>
  </si>
  <si>
    <t>2YTDTW51997962</t>
  </si>
  <si>
    <t>ERATH CSO (2YTDTW)</t>
  </si>
  <si>
    <t xml:space="preserve">
Sales Order #: 2271349752
RTD Screening Code: DOD
Reason for Rejection: Y9</t>
  </si>
  <si>
    <t>2YTPA251928091</t>
  </si>
  <si>
    <t>OUR AGENCY CONDUCTS NIGHT OPERATIONS, INCLUDING MANHUNTS AND SRT DEPLOYMENTS, IN RURAL TERRAIN WITH LIMITED LIGHTING. IR LASER DEVICES ARE CRITICAL FOR TARGET IDENTIFICATION AND TEAM COORDINATION UNDER NIGHT VISION. THEY ENHANCE ACCURACY, REDUCE RISK OF BLUE-ON-BLUE, AND INCREASE OPERATIONAL SAFETY. BUDGET CONSTRAINTS PREVENT US FROM EQUIPPING RIFLES WITH THIS ESSENTIAL CAPABILITY.  WE CURRENTLY HAVE PVS14S THROUGH NSW CRANE.</t>
  </si>
  <si>
    <t>2YTFKS51928085</t>
  </si>
  <si>
    <t xml:space="preserve">
Sales Order #: 2271349750
RTD Screening Code: DOD
Reason for Rejection: Y9</t>
  </si>
  <si>
    <t>TO ASSIST AND AID IN SEARCH AND RESCUE FOR MISSING PERSONS IN REMOTE AND HARD TO REACH AREA.</t>
  </si>
  <si>
    <t>2YTBCH51998034</t>
  </si>
  <si>
    <t xml:space="preserve">
Sales Order #: 2271598560
RTD Screening Code: DOD
Reason for Rejection: Y9</t>
  </si>
  <si>
    <t>ABPD IS REQUESTING 1 PORTABLE PRESSURE WASHER. THE PORTABLE PRESSURE WASHER WILL BE USED BY ABPD TO CLEAN POLICE VEHICLES AND POLICE PROPERTY.</t>
  </si>
  <si>
    <t>WASHER,PRESSURE,POR</t>
  </si>
  <si>
    <t>2YTQD951928171</t>
  </si>
  <si>
    <t xml:space="preserve">
Sales Order #: 2271680685
RTD Screening Code: DOD
Reason for Rejection: Y9</t>
  </si>
  <si>
    <t>FOR USE IN OUR OH-58 HELICOPTERS THAT WERE OBTAINED THROUGH THE 1033 PROGRAM AND ARE USED FOR LAW ENFORCEMENT AND COUNTER DRUG AND COUNTER SMUGGLING OPERATIONS.</t>
  </si>
  <si>
    <t>BELLMOUTH ASSY,SEAL</t>
  </si>
  <si>
    <t>2YTKLY51928204</t>
  </si>
  <si>
    <t xml:space="preserve">
Sales Order #: 2271704942
RTD Screening Code: DOD
Reason for Rejection: Y9</t>
  </si>
  <si>
    <t>CLEVIS,IDLER CONTRO</t>
  </si>
  <si>
    <t>2YTKLY51928203</t>
  </si>
  <si>
    <t>THESE DEVICES WOULD BE UTILIZED BY OUR SWAT TEAM IN CONJUNCTION WITH OUR NIGHT VISION PROGRAM.  THESE ITEMS WOULD BE CONTROLLED AND INVENTORIED ANNUALLY.  WE ARE FAMILIAR WITH THESE UNITS USE AND REPAIR.  I ACKNOWLEDGE THE CONDITION OF THESE UNITS AND I HAVE CONTACTED THE ON-SITE MANAGER WHERE THESE ARE LOCATED AND CONFIRMED THE FUNCTIONALITY OF THESE DEVICES</t>
  </si>
  <si>
    <t>2YTRQQ51928119</t>
  </si>
  <si>
    <t>RIVERTON PD (2YTRQQ)</t>
  </si>
  <si>
    <t xml:space="preserve">
Sales Order #: 2271598554
RTD Screening Code: DOD
Reason for Rejection: Y9</t>
  </si>
  <si>
    <t>EQUIPMENT WILL BE USED BY ON DUTY, TRAINED, TACTICAL TEAM OFFICERS ONLY. EQUIPMENT WILL ENHANCE OFFICER SAFETY THROUGH INCREASED VISIBILITY IN LOW LIGHT CONDITIONS. THE HOLDING FACILITY HAS BEEN CONTACTED TO VERIFY CONDITIONS.</t>
  </si>
  <si>
    <t>2YTEQK51928194</t>
  </si>
  <si>
    <t>GRAND RAPIDS POLICE DEPT (2YTEQK)</t>
  </si>
  <si>
    <t>ESSENTIAL EQUIPMENT TO BE UTILIZED BY DEA DETROIT SPECIAL RESPONSE TEAM DURING HIGH RISK ENFORCEMENT OPERATIONS TO ENHANCE OFFICER SAFETY. 
I HAVE CONTACTED THE LISTING FACILITY TO VERIFY THE CONDITION OF THE ITEMS, AND I AM SATISFIED WITH THE CONDITION AS IT IS LISTED.
MISSION CRITICAL EQUIPMENT</t>
  </si>
  <si>
    <t>2YTMM151927600</t>
  </si>
  <si>
    <t>DOJ/DEA DETROIT DIV (2YTMM1)</t>
  </si>
  <si>
    <t>2YTRTP51928184</t>
  </si>
  <si>
    <t>2YTRTP51928182</t>
  </si>
  <si>
    <t>2YTRTP51928181</t>
  </si>
  <si>
    <t>2YTRTP51928180</t>
  </si>
  <si>
    <t>FOR USE BY LEA IN TACTICAL SURVEILLANCE MISSIONS</t>
  </si>
  <si>
    <t>LASER-INFRARED OBSERVATION SET</t>
  </si>
  <si>
    <t>2YTMPA51928151</t>
  </si>
  <si>
    <t>FOR USE BY LEA IN TACTICAL SURVEILLANCE APPLICATIONS</t>
  </si>
  <si>
    <t>2YTMPA51928150</t>
  </si>
  <si>
    <t>THE CHEMUNG COUNTY SSU TEAM WILL USE THESE ITEMS FOR LOW LIGHT NIGHT TIME OPERATIONS.  WILLING TO ACCEPT THIS ITEM IN ITS CURRENT CONDITION.</t>
  </si>
  <si>
    <t>2YTB9M51928223</t>
  </si>
  <si>
    <t xml:space="preserve">I HAVE CONTACTED THE SITE AND CONFIRM AND ACCEPT THE CONDITION CODE OF THE ITEMS.  FEDERAL SCREENER FOR DIVISION WITH 200 LAW ENFORCEMENT AGENTS TO INCLUDE 19 SWAT OPERATORS.  FBI JURISDICTION FOR ALL OF NORTH CAROLINA.  KIT HAS MULTI PURPOSE USES FOR SURVEILLANCE, SUBJECT IDENTIFICATION, SEARCHES, FUGITIVE HUNTS, AND MISSING CHILDREN.  CAN BE USED BY BOTH SWAT AND FIELD AGENTS.  KIT IS COST PROHIBITIVE TO PURCHASE AND NONE ARE IN CURRENT INVENTORY.  
</t>
  </si>
  <si>
    <t>2YTQY151928279</t>
  </si>
  <si>
    <t xml:space="preserve">
Sales Order #: 2267799320
RTD Screening Code: DOD
Reason for Rejection: YG</t>
  </si>
  <si>
    <t>TO BE USED BY SHERIFF'S OFFICE STAFF TO TRANSPORT ATV'S AND UTV'S TO SEARCH AREAS FOR SUBJECTS LOST OR INJURED IN THE WOODS AND INVESTIGATION PURPOSES</t>
  </si>
  <si>
    <t>TRAILER,PLATFORM,WA</t>
  </si>
  <si>
    <t>2YTNEX51363455</t>
  </si>
  <si>
    <t xml:space="preserve">
Sales Order #: 2269863034
RTD Screening Code: DOD
Reason for Rejection: YG</t>
  </si>
  <si>
    <t>THIS ITEM WILL ASSIST KINSEY POLICE DEPARTMENT IN MOVING ITEMS AROUND THE DEPARTMENT OR THE FIRING RANGE IT WOULD ALSO ASSIST IN DEPLOYING ROAD CLOSED SIGNS OR ANY OTHER SIGNS ALSO ASSIST IN EMERGENCY WEATHER TO CLEAR ROADS OF OFF ROAD USAGE</t>
  </si>
  <si>
    <t>2YTRAR51716042</t>
  </si>
  <si>
    <t xml:space="preserve">
Sales Order #: 2261426686
RTD Screening Code: DOD
Reason for Rejection: YH</t>
  </si>
  <si>
    <t>I HAVE CONTACTED THE SITE AND CONFIRMED CONDITION MEETS THE NEEDS FOR USE IN THE LRFO FOR ILLUMINATION IN TRAINING AND OPERATIONALLY.</t>
  </si>
  <si>
    <t>2YTMRY51716124</t>
  </si>
  <si>
    <t>DOJ/FBI LITTLE ROCK DIV (2YTMRY)</t>
  </si>
  <si>
    <t xml:space="preserve">
Sales Order #: 2261426672
RTD Screening Code: DOD
Reason for Rejection: YH</t>
  </si>
  <si>
    <t>2YTMRY51716123</t>
  </si>
  <si>
    <t xml:space="preserve">
Sales Order #: 2269863036
RTD Screening Code: DOD
Reason for Rejection: YH</t>
  </si>
  <si>
    <t>THE SOUTH CAROLINA LAW ENFORCEMENT DIVISION WOULD RESPECTFULLY REQUEST THESE BAGS FOR USE BY OUR LAW ENFORCEMENT AGENTS TO CARRY, PROTECT, AND STORE THEIR LAPTOP COMPUTERS AND VARIOUS LAW ENFORCEMENT GEAR IN WHILE ON DUTY.</t>
  </si>
  <si>
    <t>2YTKTH51716227</t>
  </si>
  <si>
    <t xml:space="preserve">
Sales Order #: 2259922581
RTD Screening Code: DOD
Reason for Rejection: YG</t>
  </si>
  <si>
    <t>2YTRGK5164JG01</t>
  </si>
  <si>
    <t xml:space="preserve">
Sales Order #: 2264014169
RTD Screening Code: DOD
Reason for Rejection: YH</t>
  </si>
  <si>
    <t>HELLO, THIS AMBULANCE WOULD BE USED BY OUT TACTICAL MEDICAL SUPPORT TEAM. OUR MEDICAL TEAM TRAVELS WITH US DURING TACTICAL OPERATIONS AND THIS UNIT WOULD BE USED TO TRANSPORT WOUNDED A MEDICAL STAGING LOCATION. THANK YOU</t>
  </si>
  <si>
    <t>2YTHGS51786811</t>
  </si>
  <si>
    <t xml:space="preserve">
Sales Order #: 2270472730
RTD Screening Code: DOD
Reason for Rejection: YH</t>
  </si>
  <si>
    <t>HELLO, THIS EQUIPMENT WILL BE USED BY BOTH OUR TACTICAL TEAM AND PATROL DIVISION. WE HAVE HAD SEVERAL OCCASIONS IN THE PAST, AREAS THAT WE HAVE NOT BE ABLE TO MAKE ENTRY INTO, AND HAD TO USED THE LOCAL FIRE DEPARTMENT FOR HYDRAULIC TOOLS TO MAKE ENTRY. I DID CONTACT DLA RILEY AND THEY ADVISED THE SET SEEMED TO BE INTACT BUT HAD NO WAY TO CHECK THE EQUIPMENT. THANK YOU</t>
  </si>
  <si>
    <t>2YTHGS51716816</t>
  </si>
  <si>
    <t xml:space="preserve">
Sales Order #: 2271113918
RTD Screening Code: GSA
Reason for Rejection: YH</t>
  </si>
  <si>
    <t>WILL BE USED BY LAW ENFORCEMENT FOR LAW ENFORCEMENT PURPOSE ONLY.  WILL BE PLACE IN EACH PATROL VEHICLE TO TAKE PHOTOS OF CRIME SCENES AND COLLECT EVIDENCE</t>
  </si>
  <si>
    <t>2YTJXJ51927520</t>
  </si>
  <si>
    <t xml:space="preserve">
Sales Order #: 2271438362
RTD Screening Code: DOD
Reason for Rejection: YG</t>
  </si>
  <si>
    <t>THIS ITEM WOULD ASSIST THE KINSEY POLICE DEPARTMENT IN BUILDING OUR FIRING RANGE AND IF NEEDED IN STORMS TO RENDER AID TO CITIZENS  AND CLEARING ROADS TO GET TO THEM</t>
  </si>
  <si>
    <t>2YTRAR51927586</t>
  </si>
  <si>
    <t xml:space="preserve">
Sales Order #: 2266334893
RTD Screening Code: DOD
Reason for Rejection: YG</t>
  </si>
  <si>
    <t>FREDERICK COUNTY SHERIFF'S OFFICE A LESO AGENCY THAT CAN USE THIS ITEM FOR PRINTING OFF REPORTS AND CASE FILES FOR CRIMINAL AND NARCOTICS CASES FOR PROSECUTION IN COURT</t>
  </si>
  <si>
    <t>PAPER,XEROGRAPHIC</t>
  </si>
  <si>
    <t>2YTEBY51081139</t>
  </si>
  <si>
    <t xml:space="preserve">
Sales Order #: 2267943537
RTD Screening Code: DOD
Reason for Rejection: YG</t>
  </si>
  <si>
    <t>THE PULASKI COUNTY SHERIFFS OFFICE WILL USE THESE HEADSETS TO IMPROVE INTERNAL COMMUNICATION WITHIN THE SPECIAL REACTIONS TEAM, ENSURING CLEAR, HANDS-FREE COORDINATION DURING HIGH-RISK OPERATIONS AND ENHANCING OVERALL TEAM SAFETY AND EFFECTIVENESS.</t>
  </si>
  <si>
    <t>2YTJYU51434060</t>
  </si>
  <si>
    <t>PULASKI COUNTY SHERIFF DEPT (2YTJYU)</t>
  </si>
  <si>
    <t xml:space="preserve">
Sales Order #: 2271532135
RTD Screening Code: DOD
Reason for Rejection: YH</t>
  </si>
  <si>
    <t>FOR USE BY LEA IN COUNTER DRUG SURVEILLANCE MISSION</t>
  </si>
  <si>
    <t>2YTMPA51927833</t>
  </si>
  <si>
    <t xml:space="preserve">
Sales Order #: 2271532124
RTD Screening Code: DOD
Reason for Rejection: YH</t>
  </si>
  <si>
    <t>2YTMPA51927832</t>
  </si>
  <si>
    <t xml:space="preserve">
Sales Order #: 2271031657
RTD Screening Code: DOD
Reason for Rejection: Y9</t>
  </si>
  <si>
    <t>THIS WEIGHT BENCH WILL BE USED BY OFFICERS OF THE TROY POLICE DEPARTMENT TO MAINTAIN PHYSICAL FITNESS .</t>
  </si>
  <si>
    <t>BENCH,WEIGHT</t>
  </si>
  <si>
    <t>2YTLZB51997998</t>
  </si>
  <si>
    <t xml:space="preserve">
Sales Order #: 2271692078
RTD Screening Code: DOD
Reason for Rejection: Y9</t>
  </si>
  <si>
    <t>2YTMPA51998142</t>
  </si>
  <si>
    <t>LEVEL PLAINS POLICE DEPT WOULD USE TO PMCS VEHICLES AND KEPP VEHICLES MAINTENANCE PROBLEMS TO A MINIMUM</t>
  </si>
  <si>
    <t>2YTRNR51928243</t>
  </si>
  <si>
    <t xml:space="preserve">
Sales Order #: 2271538660
RTD Screening Code: DOD
Reason for Rejection: Y9</t>
  </si>
  <si>
    <t>FREDERICK COUNTY SHERIFF'S OFFICE A LESO AGENCY THAT CAN USE THESE ITEMS WITH 1033 CONTROLLED VEHICLES AND DRASH TENT TRAILER SYSTEMS ASSIGNED TO THE OFFICE FOR REFUELING IN THE FIELD</t>
  </si>
  <si>
    <t>SPOUT,CAN,FLEXIBLE</t>
  </si>
  <si>
    <t>2YTEBY51998250</t>
  </si>
  <si>
    <t>OUR SWAT TEAM WILL USE THESE BOLT CUTTERS AS A BREACHING OPTION FOR CHAINS, PADLOCKS, ETC.  WE NEED A NEW FULL-SIZE BOLT CUTTER.  OUR MISSION SET INCLUDES COUNTER DRUG SEARCH WARRANT OPERATIONS, COUNTER TERRORISM, AND VARIOUS OTHER TACTICAL LAW ENFORCEMENT TASKS.</t>
  </si>
  <si>
    <t>CUTTER,BOLT</t>
  </si>
  <si>
    <t>2YTP2752068321</t>
  </si>
  <si>
    <t xml:space="preserve">
Sales Order #: 2269724003
RTD Screening Code: DOD
Reason for Rejection: BQ</t>
  </si>
  <si>
    <t>THE BRISTOL TENNESSEE POLICE DEPARTMENT WOULD UTILIZE THIS TRAILER TO COORDINATE THE PICK-UP OF PROPERTY OBTAINED THROUGH THE RTD SITE.</t>
  </si>
  <si>
    <t>2YTBJQ52068338</t>
  </si>
  <si>
    <t>FOR THE PROSPECT POLICE DEPT TO ISSUE TO OFFICERS TO USE IN THE DARK.</t>
  </si>
  <si>
    <t>2YTJYC52068360</t>
  </si>
  <si>
    <t>PROSPECT POLICE DEPARTMENT (2YTJYC)</t>
  </si>
  <si>
    <t>CT</t>
  </si>
  <si>
    <t>THESE COM UNITS WILL BE USED BY OUR SRT OPERATORS DURING TRAINING AND OPERATIONS WHERE THERE IS A NEED FOR AMPLIFIED HEARING PROTECTION WITH BUILT IN COMMUNICATION CAPABILITIES.
I HAVE CONTACTED THE BASE AND WE ARE SATISFIED WITH THE CONDITION OF THE UNITS.</t>
  </si>
  <si>
    <t>2YTHDF52068411</t>
  </si>
  <si>
    <t>FOR US CUSTOMS AND BORDER PROTECTION FEDERAL LAW ENFORCEMENT OFFICERS TO CONDUCT ACTIVE SHOOTER RESPONSE AND TRAINING.</t>
  </si>
  <si>
    <t>2YTRGK52068414</t>
  </si>
  <si>
    <t xml:space="preserve">
Sales Order #: 2269907984
RTD Screening Code: DOD
Reason for Rejection: Y9</t>
  </si>
  <si>
    <t>THE CHEMUNG COUNTY SSU WILL USE THESE FOR NIGHTTIME LOW LIGHT OPERATIONS.  WILLING TO ACCEPT IN THE CONDITION THEY ARE IN.</t>
  </si>
  <si>
    <t>2YTB9M52068383</t>
  </si>
  <si>
    <t xml:space="preserve">
Sales Order #: 2266066857
RTD Screening Code: DOD
Reason for Rejection: YH</t>
  </si>
  <si>
    <t>FOR USE IN OUR AVIATION HANGAR TO SAFELY MOVE OUR HELICOPTERS. OUR AVIATION UNIT IS USED SOLELY FOR LAW ENFORCEMENT PURPOSES AND THE ITEM WILL BE USED TO ENHANCE SAFETY FOR LAW ENFORCEMENT PERSONNEL.</t>
  </si>
  <si>
    <t>WHEEL SET,TRANSPORTATION,HELICOPTER</t>
  </si>
  <si>
    <t>2YTFX351786752</t>
  </si>
  <si>
    <t xml:space="preserve">
Sales Order #: 2260556652
RTD Screening Code: DOD
Reason for Rejection: YH</t>
  </si>
  <si>
    <t>THESE WILL BE ISSUED TO OFFICERS FOR INCLEMENT WEATHER AND EMERGENCY WARMTH.</t>
  </si>
  <si>
    <t>2YTD9851786833</t>
  </si>
  <si>
    <t xml:space="preserve">
Sales Order #: 2263924692
RTD Screening Code: DOD
Reason for Rejection: YH</t>
  </si>
  <si>
    <t>THESE WILL BE ISSUED TO OFFICERS TO ORGANIZE THEIR GEAR FOR STORAGE IN THEIR PATROL CARS.</t>
  </si>
  <si>
    <t>2YTD9851786832</t>
  </si>
  <si>
    <t xml:space="preserve">
Sales Order #: 2263924690
RTD Screening Code: DOD
Reason for Rejection: YH</t>
  </si>
  <si>
    <t>THESE WILL BE ISSUED TO OFFICERS TO KEEP IN THEIR GEAR FOR FIRST AID TREATMENT</t>
  </si>
  <si>
    <t>2YTD9851786828</t>
  </si>
  <si>
    <t xml:space="preserve">
Sales Order #: 2270472738
RTD Screening Code: DOD
Reason for Rejection: YH</t>
  </si>
  <si>
    <t>THESE WILL BE UTILIZED IN THE POLICE DEPARTMENT AMMO VAULT TO KEEP IT DRY.</t>
  </si>
  <si>
    <t>DEHUMIDIFIER</t>
  </si>
  <si>
    <t>DSDEHUMID</t>
  </si>
  <si>
    <t>2YTD9851786891</t>
  </si>
  <si>
    <t xml:space="preserve">
Sales Order #: 2270472726
RTD Screening Code: DOD
Reason for Rejection: YH</t>
  </si>
  <si>
    <t>THESE WILL BE ISSUED TO OFFICERS FOR CRITICAL INCIDENTS TO CARRY BODY ARMOR.</t>
  </si>
  <si>
    <t>2YTD9851716893</t>
  </si>
  <si>
    <t xml:space="preserve">
Sales Order #: 2263924687
RTD Screening Code: DOD
Reason for Rejection: YH</t>
  </si>
  <si>
    <t>2YTD9851716892</t>
  </si>
  <si>
    <t xml:space="preserve">
Sales Order #: 2270940606
RTD Screening Code: DOD
Reason for Rejection: YH</t>
  </si>
  <si>
    <t>2YTD9851857345</t>
  </si>
  <si>
    <t xml:space="preserve">
Sales Order #: 2270862205
RTD Screening Code: DOD
Reason for Rejection: YH</t>
  </si>
  <si>
    <t>THESE WILL BE ISSUED TO OFFICERS FOR RANGE TRAINING WEAR.</t>
  </si>
  <si>
    <t>2YTD9851857343</t>
  </si>
  <si>
    <t xml:space="preserve">
Sales Order #: 2270862203
RTD Screening Code: DOD
Reason for Rejection: YH</t>
  </si>
  <si>
    <t>2YTD9851857342</t>
  </si>
  <si>
    <t xml:space="preserve">
Sales Order #: 2270903051
RTD Screening Code: DOD
Reason for Rejection: YH</t>
  </si>
  <si>
    <t>2YTD9851857340</t>
  </si>
  <si>
    <t xml:space="preserve">
Sales Order #: 2270903056
RTD Screening Code: DOD
Reason for Rejection: YH</t>
  </si>
  <si>
    <t>2YTD9851857339</t>
  </si>
  <si>
    <t xml:space="preserve">
Sales Order #: 2270903046
RTD Screening Code: DOD
Reason for Rejection: YH</t>
  </si>
  <si>
    <t>2YTD9851857338</t>
  </si>
  <si>
    <t xml:space="preserve">
Sales Order #: 2270862206
RTD Screening Code: DOD
Reason for Rejection: YH</t>
  </si>
  <si>
    <t>2YTD9851857337</t>
  </si>
  <si>
    <t xml:space="preserve">
Sales Order #: 2270862198
RTD Screening Code: DOD
Reason for Rejection: YH</t>
  </si>
  <si>
    <t>2YTD9851857336</t>
  </si>
  <si>
    <t xml:space="preserve">
Sales Order #: 2270903059
RTD Screening Code: DOD
Reason for Rejection: YH</t>
  </si>
  <si>
    <t>2YTD9851857335</t>
  </si>
  <si>
    <t xml:space="preserve">
Sales Order #: 2271514132
RTD Screening Code: DOD
Reason for Rejection: YH</t>
  </si>
  <si>
    <t>I AM AWARE OF THE CONDITION AND HAVE CONFIRMED IT.  THIS WILL BE USED TO MAINTAIN POLICE FLEET VEHICLES.</t>
  </si>
  <si>
    <t>INFLATOR-GAGE,PNEUMATIC TIRE</t>
  </si>
  <si>
    <t>2YTD9851927831</t>
  </si>
  <si>
    <t xml:space="preserve">
Sales Order #: 2271514124
RTD Screening Code: DOD
Reason for Rejection: YH</t>
  </si>
  <si>
    <t>2YTD9851927830</t>
  </si>
  <si>
    <t xml:space="preserve">
Sales Order #: 2271514128
RTD Screening Code: DOD
Reason for Rejection: YH</t>
  </si>
  <si>
    <t>2YTD9851927829</t>
  </si>
  <si>
    <t xml:space="preserve">
Sales Order #: 2271514127
RTD Screening Code: DOD
Reason for Rejection: YH</t>
  </si>
  <si>
    <t>THESE WILL BE UTILIZED FOR POLICE WEAPON MAINTAINCE TO CHECK WEAR AND CRUCIBLE ENGAGEMENT.</t>
  </si>
  <si>
    <t>CALIPERS</t>
  </si>
  <si>
    <t>DSCALIPER</t>
  </si>
  <si>
    <t>2YTD9851927825</t>
  </si>
  <si>
    <t xml:space="preserve">
Sales Order #: 2271514130
RTD Screening Code: GSA
Reason for Rejection: YH</t>
  </si>
  <si>
    <t>THIS WILL BE UTILIZED FOR SPECIAL POLICE EVENTS AND CRITICAL INCIDENTS WHERE POWER IS NEEDED AND NOT AVAIBLE.</t>
  </si>
  <si>
    <t>2YTD9851927824</t>
  </si>
  <si>
    <t xml:space="preserve">
Sales Order #: 2271514133
RTD Screening Code: GSA
Reason for Rejection: YH</t>
  </si>
  <si>
    <t>I AM AWARE OF THE CONDITION AND HAVE CONFIRMED IT. THESE WILL BE UTILIZED FOR THE STORAGE OF POLICE MUNITIONS.</t>
  </si>
  <si>
    <t>SHIPPING AND STORAGE CONTAINER,CARTRIDGE</t>
  </si>
  <si>
    <t>2YTD9851927822</t>
  </si>
  <si>
    <t xml:space="preserve">
Sales Order #: 2271291174
RTD Screening Code: DOD
Reason for Rejection: Y9</t>
  </si>
  <si>
    <t>THE TEHAMA COUNTY SHERIFF'S OFFICE WILL USE TRUCK, HAND TO MOVE DEPARTMENT EQUIPMENT AND SUPPLIES USED BY DEPUTIES FOR LAW ENFORCEMENT WITHIN THE STORAGE BUILDING AND ARMORY.</t>
  </si>
  <si>
    <t>TRUCK,HAND</t>
  </si>
  <si>
    <t>2YTLQ751998063</t>
  </si>
  <si>
    <t xml:space="preserve">
Sales Order #: 2271538667
RTD Screening Code: DOD
Reason for Rejection: Y9</t>
  </si>
  <si>
    <t>FREDERICK COUNTY SHERIFF'S OFFICE A LESO AGENCY THAT CAN USE THIS ITEM FOR SERVICING MASTER LOCKS AT THE IMPOUND LOT AND OTHER AREAS REQUIRING PAD LOCKS</t>
  </si>
  <si>
    <t>KIT,O-RING</t>
  </si>
  <si>
    <t>2YTEBY51998252</t>
  </si>
  <si>
    <t xml:space="preserve">
Sales Order #: 2269829878
RTD Screening Code: ACCM
Reason for Rejection: YG</t>
  </si>
  <si>
    <t>2YTC2B5191KM01</t>
  </si>
  <si>
    <t xml:space="preserve">
Sales Order #: 2269723997
RTD Screening Code: DOD
Reason for Rejection: Y9</t>
  </si>
  <si>
    <t>THE BRISTOL TENNESSEE POLICE DEPARTMENT WOULD USE THIS VEHICLE TO TRANSPORT OFFICERS TO TRAINING TO INCLUDE ACTIVE SHOOTER RESPONSE, BASIC OFFICER TRAINING, AND NARCOTICS TRAINING.</t>
  </si>
  <si>
    <t>2YTBJQ52068337</t>
  </si>
  <si>
    <t xml:space="preserve">
Sales Order #: 2271692060
RTD Screening Code: DOD
Reason for Rejection: Y9</t>
  </si>
  <si>
    <t>THE AUGUSTA POLICE DEPARTMENT IS IN NEED OF A REPLACEMENT VEHICLE FOR OUR K-9 OFFICER.</t>
  </si>
  <si>
    <t>2YTRJ552068312</t>
  </si>
  <si>
    <t xml:space="preserve">
Sales Order #: 2270360278
RTD Screening Code: DOD
Reason for Rejection: Y9</t>
  </si>
  <si>
    <t>SO OFFICERS OF THE MEIGS COUNTY SHERIFF'S OFFICE TASK FORCE CAN HAVE A VEHICLE TO SECURE THEIR GEAR IN FOR FASTER RESPONSE FOR ACTIVE SHOOTER, SCHOOL SHOOTINGS AND ANY OTHER TACTICAL RESPONSE THEY WOULD BE RESPONDING TO.</t>
  </si>
  <si>
    <t>2YTHJZ52068345</t>
  </si>
  <si>
    <t>FOR USE BY CBP LAW ENFORCEMENT PERSONNEL TO PROVIDE ADDITIONAL VISIBILITY WHILE STANDING IN AREA WHERE ADDITIONAL VISIBILITY FOR SAFETY IS REQUIRED</t>
  </si>
  <si>
    <t>VEST,HIGH VISIBILITY</t>
  </si>
  <si>
    <t>2YTRGK51948280</t>
  </si>
  <si>
    <t xml:space="preserve">
Sales Order #: 2271768754
RTD Screening Code: DOD
Reason for Rejection: Y9</t>
  </si>
  <si>
    <t>TO BE USED AS A MOBILE AND STORE BARACADES TO BLOCK ROADS FOR BIG WRECKS AND SEVERE WEATHER.</t>
  </si>
  <si>
    <t>2YTBCH52068343</t>
  </si>
  <si>
    <t xml:space="preserve">
Sales Order #: 2271790845
RTD Screening Code: DOD
Reason for Rejection: Y9</t>
  </si>
  <si>
    <t>THIS ITEM WILL BE USED EXCLUSIVELY BY LEO'S FROM THIS LEA. THIS TRAILER WILL BE USED TO TRANSPORT TARGETS, RANGE EQUIPMENT, RANGE CLEANING SUPPLIES TO THIS LEA'S OFFSITE SHOOTING RANGE TO COMPLETE ANNUAL QUALIFICATIONS.</t>
  </si>
  <si>
    <t>2YTK2052068389</t>
  </si>
  <si>
    <t xml:space="preserve">
Sales Order #: 2271790850
RTD Screening Code: DOD
Reason for Rejection: Y9</t>
  </si>
  <si>
    <t>CCSO, WOULD LIKE TO HAVE THIS FLAG FOR DISPLAY AT OUR OFFICE 
THANKS</t>
  </si>
  <si>
    <t>FLAG,NATIONAL</t>
  </si>
  <si>
    <t>2YTC2B52068382</t>
  </si>
  <si>
    <t xml:space="preserve">
Sales Order #: 2270890536
RTD Screening Code: DOD
Reason for Rejection: Y9</t>
  </si>
  <si>
    <t>TEMPER TYPE XLVIII-STAND ALONE-BIL, TAN</t>
  </si>
  <si>
    <t>2YTRGK5197JV02</t>
  </si>
  <si>
    <t xml:space="preserve">
Sales Order #: 2270890541
RTD Screening Code: GSA
Reason for Rejection: Y9</t>
  </si>
  <si>
    <t>2YTRGK5197JG01</t>
  </si>
  <si>
    <t>2YTCBH5197KM01</t>
  </si>
  <si>
    <t>CHESTERFIELD POLICE DEPT (2YTCBH)</t>
  </si>
  <si>
    <t xml:space="preserve">
Sales Order #: 2269827673
RTD Screening Code: DOD
Reason for Rejection: YH</t>
  </si>
  <si>
    <t>TREADMILL WILL BE USED BY THE AGENCY'S OFFICERS IN OUR ONSITE PRIVATE GYM, TO MAINTAIN THEIR FITNESS FOR DUTY.</t>
  </si>
  <si>
    <t>2YTJ1C51716270</t>
  </si>
  <si>
    <t xml:space="preserve">
Sales Order #: 2271290455
RTD Screening Code: DOD
Reason for Rejection: Y9</t>
  </si>
  <si>
    <t>WILL BE USED BY LAW ENFORCEMENT FOR LAW ENFORCEMENT PURPOSE.  WILL BE PLACED ON OFFICER WEAPONS</t>
  </si>
  <si>
    <t>2YTJXJ51997865</t>
  </si>
  <si>
    <t xml:space="preserve">
Sales Order #: 2271379710
RTD Screening Code: DOD
Reason for Rejection: Y9</t>
  </si>
  <si>
    <t>THESE ITEMS WOULD BE FOR USE BY LAW ENFORCEMENT OFFICERS ASSIGNED TO OUR SWAT TEAM. THESE WOULD BE AFFIXED TO RIFLES FOR OUR MARKSMEN. CURRENTLY OUR SWAT TEAM HAS NO MAGNIFIED OPTICS OTHER THAN DESIGNATED MARKSMEN RIFLES. WE OPERATE IN A RURAL ARE AND OFTEN HAVE TO MAINTAIN LARGE PERIMETERS AT VARYING DISTANCES.
THE NUMBER REQUESTED IS BASED ON OUR NUMBER OF MARKSMEN.</t>
  </si>
  <si>
    <t>2YTFXU51997963</t>
  </si>
  <si>
    <t xml:space="preserve">
Sales Order #: 2271383108
RTD Screening Code: DOD
Reason for Rejection: Y9</t>
  </si>
  <si>
    <t>THE TEHAMA COUNTY SHERIFF'S OFFICE WILL USE JACK TO FIX BROKEN TRAILER JACKS ON TRAILERS USED BY SHERIFF'S PERSONNEL.</t>
  </si>
  <si>
    <t>2YTLQ751998162</t>
  </si>
  <si>
    <t>FOR USE BY ON DUTY OSD OFFICERS FOR RADIO COMMUNICATIONS. CURRENTLY THE DEPARTMENT HAS A SHORTAGE OF RADIOS AND ARE UNABLE TO FULLY EQUIP ALL ASSIGNMENT AREAS WITH PORTABLE RADIOS.</t>
  </si>
  <si>
    <t>2YT1WK52068420</t>
  </si>
  <si>
    <t xml:space="preserve">
Sales Order #: 2271768759
RTD Screening Code: DOD
Reason for Rejection: Y9</t>
  </si>
  <si>
    <t>THE GENEVA COUNTY SHERIFFS OFFICE WILL USE THIS FOR SCANNING PACKAGES AT THE FRONT DOOR TO OUR OFFICE.</t>
  </si>
  <si>
    <t>MISCELLANEOUS ALARM, SECURITY DETECTION</t>
  </si>
  <si>
    <t>DSDETECT0</t>
  </si>
  <si>
    <t>2YTEJF52068400</t>
  </si>
  <si>
    <t xml:space="preserve">
Sales Order #: 2268637949
RTD Screening Code: DOD
Reason for Rejection: YH</t>
  </si>
  <si>
    <t>LLOYD PD WOULD UTILIZE THIS TRAILER FOR MOBILE INCIDENT COMMAND DURING MAJOR INCIDENTS.</t>
  </si>
  <si>
    <t>TRAILER, DEMIL Q</t>
  </si>
  <si>
    <t>DSTRAILEQ</t>
  </si>
  <si>
    <t>2YTGVC51644346</t>
  </si>
  <si>
    <t>LLOYD POLICE DEPARTMENT (2YTGVC)</t>
  </si>
  <si>
    <t xml:space="preserve">
Sales Order #: 2268566531
RTD Screening Code: DOD
Reason for Rejection: YG</t>
  </si>
  <si>
    <t xml:space="preserve">MONTGOMERY COUNTY SHERIFF'S OFFICE HAS A NEED FOR A SKID STEER FOR MAINTAINING THE GROUNDS AT OUR TRAINING COMPLEX. THE COMPLEX IS A 300  ACRE FACILITY THAT FACILITATES MULTIPLE TRAINING ASPECTS, TO INCLUDE FIRING RANGE, K9 TRAINING ESU AND VARIOUS PT PROGRAMS. THE SKID STEER WOULD BE USED FOR MATERIAL HANDLING, LIGHT EXCAVATION AND ROAD MAINTENANCE 
</t>
  </si>
  <si>
    <t>2YTHYN51505370</t>
  </si>
  <si>
    <t>MONTGOMERY COUNTY SHERIFF OFFICE (2YTHYN)</t>
  </si>
  <si>
    <t xml:space="preserve">
Sales Order #: 2269393407
RTD Screening Code: DOD
Reason for Rejection: YG</t>
  </si>
  <si>
    <t>THE SHERBURNE COUNTY SHERIFF'S IS REQUESTING MEDICAL BAGS FOR PLACEMENT IN VEHICLES. THIS WILL HELP ORGANIZE MEDICAL SUPPLIES THAT ARE UTILIZED BY OFFICERS DURING EMERGENCY RESPONSES.</t>
  </si>
  <si>
    <t>BACKPACK,MEDICAL TR</t>
  </si>
  <si>
    <t>2YTK1W51645639</t>
  </si>
  <si>
    <t xml:space="preserve">
Sales Order #: 2269282494
RTD Screening Code: DOD
Reason for Rejection: YE</t>
  </si>
  <si>
    <t>I AM REQUESTING 1 ANPVS 9 FOR THE MINNEHAHA COUNTY SO TO BE ASSIGNED TO SWAT, WARRANT TASK FORCE AND HIDTA NARCOTICS DETECTIVES TO BE USED IN COUNTER DRUG, COUNTER TERRORISM, SOFT TARGET, AND DIGNITARY PROTECTION, HOSTAGE RESCUE, SEARCH AND RESCUE AND OTHER LE ROLES. I HAVE CONTACTED A REPRESENTATIVE FROM DLA DS EGLIN, VIEWED PHOTOS AND I AM SATISFIED WITH THE CONDITION OF THE ITEM.</t>
  </si>
  <si>
    <t>2YTHTJ51646377</t>
  </si>
  <si>
    <t xml:space="preserve">
Sales Order #: 2269282504
RTD Screening Code: DOD
Reason for Rejection: YH</t>
  </si>
  <si>
    <t>2YTHTJ51646376</t>
  </si>
  <si>
    <t xml:space="preserve">
Sales Order #: 2269282499
RTD Screening Code: DOD
Reason for Rejection: YE</t>
  </si>
  <si>
    <t>2YTHTJ51646375</t>
  </si>
  <si>
    <t xml:space="preserve">
Sales Order #: 2269282503
RTD Screening Code: DOD
Reason for Rejection: YH</t>
  </si>
  <si>
    <t>2YTHTJ51646374</t>
  </si>
  <si>
    <t xml:space="preserve">
Sales Order #: 2269282493
RTD Screening Code: DOD
Reason for Rejection: YH</t>
  </si>
  <si>
    <t>2YTHTJ51646373</t>
  </si>
  <si>
    <t xml:space="preserve">
Sales Order #: 2270104809
RTD Screening Code: DOD
Reason for Rejection: YH</t>
  </si>
  <si>
    <t>2YTHTJ51646372</t>
  </si>
  <si>
    <t xml:space="preserve">
Sales Order #: 2270261021
RTD Screening Code: DOD
Reason for Rejection: YG</t>
  </si>
  <si>
    <t>THE SUMTER COUNTY SHERIFF REQUESTS THIS ITEM TO BE USED TO SUPPORT THE EXISTING HELICOPTER FLEET.</t>
  </si>
  <si>
    <t>LOCK,NUT,MAIN ROTOR</t>
  </si>
  <si>
    <t>2YTLLK51716472</t>
  </si>
  <si>
    <t>SUMTER CSO (2YTLLK)</t>
  </si>
  <si>
    <t xml:space="preserve">
Sales Order #: 2271121730
RTD Screening Code: DOD
Reason for Rejection: YH</t>
  </si>
  <si>
    <t>THE TEHAMA COUNTY SHERIFF'S OFFICE WILL USE FORKLIFT, LARGE FRAME, TO MOVE AND UNLOAD CONEX BOXES USED FOR DEPARTMENT STORAGE OF EQUIPMENT AND EVIDENCE.</t>
  </si>
  <si>
    <t>2YTLQ751927667</t>
  </si>
  <si>
    <t xml:space="preserve">
Sales Order #: 2271290435
RTD Screening Code: DOD
Reason for Rejection: Y9</t>
  </si>
  <si>
    <t>2YTANX51997882</t>
  </si>
  <si>
    <t xml:space="preserve">
Sales Order #: 2271191455
RTD Screening Code: DOD
Reason for Rejection: Y9</t>
  </si>
  <si>
    <t>GENERAL PURPOSE UTV FOR USE BY ECSO DEPUTIES ASSIGNED TO GARAGE MAINTENANCE FOR PARTS PICK UP AND MOVEMENT ON ECSO GARAGE GROUNDS.</t>
  </si>
  <si>
    <t>2YTDTZ51997925</t>
  </si>
  <si>
    <t xml:space="preserve">
Sales Order #: 2271191456
RTD Screening Code: DOD
Reason for Rejection: Y9</t>
  </si>
  <si>
    <t>THE MT. ORAB POLICE DEPARTMENT WOULD LIKE TO ACQUIRE THIS UTV. THIS WOULD BE STORED AT OUR OUTDOOR RANGE. ITS PURPOSE WOULD BE TO TRANSPORT ITEMS SUCH AS TARGETS, SHOOTING REST, WEED EATERS AND OTHER MAINTENANCE ITEMS BACK AND FORTH OVER THE MULTIPLE ACRES. THIS WOULD BE UTILIZED FOR OUR LONG RANGE SHOOTING AND CHECKING THE TARGETS AFTER A SHOT GROUP.</t>
  </si>
  <si>
    <t>2YTH5S51997988</t>
  </si>
  <si>
    <t xml:space="preserve">
Sales Order #: 2271290444
RTD Screening Code: DOD
Reason for Rejection: Y9</t>
  </si>
  <si>
    <t>2YTDTW51997961</t>
  </si>
  <si>
    <t xml:space="preserve">
Sales Order #: 2269561049
RTD Screening Code: DOD
Reason for Rejection: Y9</t>
  </si>
  <si>
    <t>THIS LAW ENFORCEMENT AGENCY HAS VAST WOODED TERRAIN IN ITS AREA OF RESPONSIBILITY.  THIS VEHICLE WOULD BE USED TO CONDUCT LAW ENFORCEMENT AND PUBLIC SAFETY ACTIVITIES IN AREAS THAT ARE NOT ACCESSIBLE TO STANDARD VEHICLES OR DURING TIMES OF INCLIMATE WEATHER.  THIS AGENCY HAS SPOKEN WITH THE PREVIOUS AGENCY THAT OPERATED THE VEHICLE AND IS FULLY BRIEFED ON THE VEHICLE.</t>
  </si>
  <si>
    <t>2YT0E752068393</t>
  </si>
  <si>
    <t xml:space="preserve">
Sales Order #: 2271915545
Reason for Rejection: Y6</t>
  </si>
  <si>
    <t>TROUSERS,BODY ARMOR</t>
  </si>
  <si>
    <t>2YTM9S51978463</t>
  </si>
  <si>
    <t>OUR RURAL COUNTY INCLUDES FIELDS, WATERWAYS, AND REMOTE AREAS INACCESSIBLE BY PATROL VEHICLE. A SIDE-BY-SIDE ATV ALLOWS RAPID RESPONSE FOR SEARCH AND RESCUE, MEDICAL CALLS, AND SUSPECT APPREHENSION IN OFF-ROAD ENVIRONMENTS.</t>
  </si>
  <si>
    <t>2YTFKS51716339</t>
  </si>
  <si>
    <t xml:space="preserve">
Sales Order #: 2271532139
RTD Screening Code: DOD
Reason for Rejection: Y9</t>
  </si>
  <si>
    <t>2YTMPA51997876</t>
  </si>
  <si>
    <t xml:space="preserve">
Sales Order #: 2271116261
RTD Screening Code: DOD
Reason for Rejection: Y9</t>
  </si>
  <si>
    <t>I HAVE CONTACTED THE SITE AND CONFIRM AND ACCEPT THE CONDITION CODE OF THE ITEMS.  FEDERAL SCREENER FOR DIVISION WITH 200 LAW ENFORCEMENT AGENTS TO INCLUDE 19 SWAT OPERATORS.  MOST OPERATORS ARE USING SINGLE TUBE NVGS THAT ARE OUT OF WARRANTY.  DUE TO A MAJORITY OF HIGH RISK OPERATIONS IN LOW LIGHT CONDITIONS IT IS CRITICAL TO HAVE BETTER EQUIPMENT FOR OFFICER SAFETY THESE ARE FAR SUPERIOR TO WHAT ARE FIELDED.  THERE HAS BEEN NO FUNDING FOR NIGHT VISION OPTICS NOR HAS THERE BEEN FOR YEARS.</t>
  </si>
  <si>
    <t>2YTQY151997932</t>
  </si>
  <si>
    <t xml:space="preserve">
Sales Order #: 2271420319
RTD Screening Code: DOD
Reason for Rejection: Y9</t>
  </si>
  <si>
    <t>THE BURNSVILLE PD SWAT TEAM WILL USE THESE NIGHT VISION GOGGLES WHILE CONDUCTING TACTICAL LAW ENFORCEMENT OPERATIONS.  OUR MISSION SET INCLUDES COUNTER DRUG OPERATIONS, COUNTER TERRORISM, HOSTAGE RESCUE, ETC.  WE USE OUR LESO NVGS REGULARLY, BUT SOME ARE STARTING TO MALFUNCTION AND WE NEED REPLACEMENTS.  WE ARE AWARE THEY'RE CONDITION B AND WILL TAKE THEM AS THEY ARE.</t>
  </si>
  <si>
    <t>2YTP2751997929</t>
  </si>
  <si>
    <t xml:space="preserve">
Sales Order #: 2271135571
RTD Screening Code: DOD
Reason for Rejection: Y9</t>
  </si>
  <si>
    <t>THE WAYNE COUNTY SHERIFF'S OFFICE WILL UTILIZE THESE NIGHT VISION DEVICES FOR OPERATIONS AT NIGHT INVOLVING SEARCH AND RESCUE MISSIONS IN THE COUNTY. I HAVE CONFIRMED AND ACCEPTED THE CONDITION OF THESE ITEMS.</t>
  </si>
  <si>
    <t>2YTNDJ51997982</t>
  </si>
  <si>
    <t>WAYNE COUNTY SHERIFFS OFFICE (2YTNDJ)</t>
  </si>
  <si>
    <t xml:space="preserve">
Sales Order #: 2271191453
RTD Screening Code: DOD
Reason for Rejection: Y9</t>
  </si>
  <si>
    <t>THE SARDINIA POLICE DEPARTMENT IS REQUESTING WATER SURVIVAL DUTY GEAR THAT CAN BE ISSUED TO POLICE OFFICERS FOR THEIR ASSIGNED DUTY UNIFORM AND GEAR. WITH LIMITED AND NO ADDITIONAL FUNDING RESOURCES FOR WATER SURVIVAL ITEMS, RECEIPT OF THE REQUESTED ITEMS WOULD ASSIST, SUSTAIN, AND REDUCE THE COST FOR SARDINIA POLICE DEPARTMENT TO OUTFIT POLICE OFFICERS WITH WATER SURVIVAL GEAR IN THE EVENT OF WATER RESCUE TO PROTECT AND SERVE.</t>
  </si>
  <si>
    <t>2YTKSE51997977</t>
  </si>
  <si>
    <t xml:space="preserve">
Sales Order #: 2271379726
RTD Screening Code: DOD
Reason for Rejection: Y9</t>
  </si>
  <si>
    <t>THE OSAGE COUNTY SHERIFF'S OFFICE WILL USE THIS VEHICLE IN CRIMINAL INTERDICTION OPERATIONS AND SAR OPERATIONS. THIS WILL ENABLE US TO MOVE MULTIPLE DEPUTIES AT ONE TIME.</t>
  </si>
  <si>
    <t>2YT16P51997969</t>
  </si>
  <si>
    <t xml:space="preserve">
Sales Order #: 2271135584
RTD Screening Code: DOD
Reason for Rejection: Y9</t>
  </si>
  <si>
    <t>SWAT AND SUPPORTING PERSONNEL NIGHT OBSERVATION. CONDITION VERIFIED.</t>
  </si>
  <si>
    <t>2YTPA251998011</t>
  </si>
  <si>
    <t xml:space="preserve">
Sales Order #: 2271213874
RTD Screening Code: DOD
Reason for Rejection: Y9</t>
  </si>
  <si>
    <t>FOR USE BY THE MILTON POLICE DEPARTMENT SWAT TEAM FOR OFFICERS TO BE ABLE TO LOCATE SUSPECTS USING STEALTH, AS WELL AS TO USE DURING SEARCH AND RESCUE OPERATIONS. CONFIRMED STATUS WITH SUSQUEHANNA. WE ACKNOWLEDGE CONDITION AND ACCEPT STATUS AND CONDITION.</t>
  </si>
  <si>
    <t>2YTHST51998019</t>
  </si>
  <si>
    <t xml:space="preserve">
Sales Order #: 2271213872
RTD Screening Code: DOD
Reason for Rejection: Y9</t>
  </si>
  <si>
    <t>BODY BAGS, WILL BE USED BY SHERIFF'S OFFICE PERSONNEL FOR THE RECOVERY OF DECEASED PERSONS.  SEARCH AND RESCUE, MARINE RESCUE.</t>
  </si>
  <si>
    <t>2YTF7N51997923</t>
  </si>
  <si>
    <t xml:space="preserve">
Sales Order #: 2271191472
RTD Screening Code: DOD
Reason for Rejection: Y9</t>
  </si>
  <si>
    <t xml:space="preserve">
THE HOWELL COUNTY SHERIFF'S OFFICE IS A LAW ENFORCEMENT AGENCY. THIS NIGHT VISION WOULD FILL A NEED FOR LOW LIGHT NAVIGATION DURING EMERGENCIES LIKE NATURAL DISASTERS, MISSING PERSONS CASES, FUGITIVE APPREHENSION, AND OTHER CRISES. THESE NIGHT VISION DEVICES WOULD GREATLY INCREASE HCSO'S CAPABILITIES AND AID HOWELL COUNTY AND SURROUNDING AREAS. THE DEVICES WE CURRENTLY HAVE CANNOT BE USED DUE TO DIFFICULTY IN FINDING AND THE EXPENSE OF MOUNTS AND BATTERY PACKS.</t>
  </si>
  <si>
    <t>2YTFKX51998020</t>
  </si>
  <si>
    <t>TO BE USED BY LAW ENFORCEMENT IN THE ADMINISTRATIVE OFFICES FOR POLICE DUTIES</t>
  </si>
  <si>
    <t>2YTEZF51997966</t>
  </si>
  <si>
    <t xml:space="preserve">
Sales Order #: 2271116236
RTD Screening Code: DOD
Reason for Rejection: Y9</t>
  </si>
  <si>
    <t>ITEMS WILL BE UTILIZED FOR LEO PURPOSES ONLY. FBI BA IS REQUESTING NIGHT VISION DEVICES TO UTILIZE DURING TACTICAL OPERATIONS TO ENHANCE OPERATOR SAFETY DURING LOW LIGHT AND DEGRADED VISIBILITY OPERATIONS. THIS IS A PRIORITY REQUEST AS BA SWAT IS CURRENTLY NOT FULLY MISSION CAPABLE WITH NIGHT VISION DEVICES.</t>
  </si>
  <si>
    <t>2YTRJ351997972</t>
  </si>
  <si>
    <t xml:space="preserve">
Sales Order #: 2271290439
RTD Screening Code: DOD
Reason for Rejection: Y9</t>
  </si>
  <si>
    <t>BERLIN BOROUGH POLICE DEPARTMENT WILL UTILIZE THESE DEVICES FOR ANY NIGHTTIME SEARCH AND RESCUE OR TACTICAL SITUATION. THE DEVICES WILL ALSO BE UTILIZED BY ITS OFFICERS IN A SWAT CAPACITY FOR NIGHTTIME TACTICAL SITUATIONS.</t>
  </si>
  <si>
    <t>2YTA5251997994</t>
  </si>
  <si>
    <t xml:space="preserve">
Sales Order #: 2271232193
RTD Screening Code: DOD
Reason for Rejection: Y9</t>
  </si>
  <si>
    <t>THE BENTON HARBOR DEPT. OF PUBLIC SAFETY WILL USE THESE DURING ARREST OPERATIONS, SEARCH WARRANTS, FUGITIVE RECOVERY OPERATIONS, AND INCIDENTS WHERE INDIVIDUALS FLEE FROM LAW ENFORCEMENT. THIS WILL ALSO BE USED TO ASSIST OTHER SURROUNDING AGENCIES FOR LIKE INCIDENTS AS WELL AS NARCOTICS ENFORCEMENT AND ACTIVE SHOOTER INCIDENTS IF THEY ARISE. DLA DS SUSQUEHANNA HAS BEEN CONTACTED ABOUT THIS ITEM. THESE WILL REPLACE THE PREVIOUS ONES ORDERED.</t>
  </si>
  <si>
    <t>2YTA5D51997999</t>
  </si>
  <si>
    <t xml:space="preserve">
Sales Order #: 2271213873
RTD Screening Code: DOD
Reason for Rejection: Y9</t>
  </si>
  <si>
    <t>THE WILLACOOCHEE POLICE DEPARTMENT IS SEEKING A PICKUP TRUCK TO FACILITATE THE TRANSPORTATION AND DELIVERY OF EMERGENCY SUPPLIESPLIES TO LOCAL CITIZENS IN NEED. THIS VEHICLE WILL PLAY A CRUCIAL ROLE IN ENSURING THAT ESSENTIAL ITEMS, SUCH AS FOOD, MEDICAL SUPPLIES, AND OTHER NECESSITIES, CAN BE DISTRIBUTED QUICKLY AND EFFICIENTLY DURING EMERGENCIES.</t>
  </si>
  <si>
    <t>2YTNPQ51998096</t>
  </si>
  <si>
    <t xml:space="preserve">
Sales Order #: 2271135592
RTD Screening Code: DOD
Reason for Rejection: Y9</t>
  </si>
  <si>
    <t>FOR USE BY REQUESTING AGENCY. FOR LAW ENFORCEMENT PURPOSE. TO BE USED FOR NIGHT AND LOW LIGHT OPERATIONS BY TACTICAL TEAM AND PATROL. REQUESTOR CONFIRMS AND ACCEPTS CONDITION OF UNITS.</t>
  </si>
  <si>
    <t>2YTQYX51998046</t>
  </si>
  <si>
    <t xml:space="preserve">
Sales Order #: 2271116284
RTD Screening Code: DOD
Reason for Rejection: Y9</t>
  </si>
  <si>
    <t>THIS VAN, USED SOLELY BY THE POLICE DEPARTMENT, ENHANCES OUR SMALL FLEET FOR TRAFFIC EMERGENCIES. IT WILL BE USED TO TRANSPORT TRAFFIC CONES AND BARRICADES FOR TRAFFIC CONTROL DURING EMERGENCIES. DRIVEN ONLY BY OUR OFFICERS, IT WILL BE STRIPED WITH POLICE INSIGNIA AND EQUIPPED WITH BLUE LIGHTS. IT SIGNIFICANTLY IMPROVES OFFICER SAFETY BY ENHANCING VISIBILITY, CLEARLY MARKING POLICE PRESENCE DURING HIGH-RISK TRAFFIC EMERGENCIES, REDUCING ACCIDENT RISKS, AND PROTECTING OFFICERS FROM TRAFFIC</t>
  </si>
  <si>
    <t>2YTH3451998061</t>
  </si>
  <si>
    <t xml:space="preserve">
Sales Order #: 2271227745
RTD Screening Code: DOD
Reason for Rejection: Y9</t>
  </si>
  <si>
    <t>NIGHT VISION ENHANCES DEPUTY SAFETY, IMPROVES RESPONSE DURING LOW-LIGHT CALLS, AND INCREASES EFFECTIVENESS DURING NIGHTTIME OPERATIONS SUCH AS SEARCHES, SURVEILLANCE, AND RURAL PATROLS.</t>
  </si>
  <si>
    <t>2YTHWR51998076</t>
  </si>
  <si>
    <t xml:space="preserve">
Sales Order #: 2271135596
RTD Screening Code: DOD
Reason for Rejection: Y9</t>
  </si>
  <si>
    <t>THIS EQUIPMENT WILL BE UTILIZED BY PATROL OFFICERS, DETECTIVES, SPECIAL WEAPONS AND TACTICS OFFICERS AND COMMAND STAFF TO ASSIST WITH INVESTIGATIONS INVOLVING MISSING OR WANTED INDIVIDUALS, SEARCH AND RESCUE OPERATIONS, TACTICAL OPERATIONS, SURVEILLANCE OPERATIONS AND CRITICAL INCIDENT RESPONSE.  THIS EQUIPMENT WILL ALLOW OFFICERS TO OBSERVE CRITICAL DETAILS AS IT PERTAINS TO LE FUNCTION AND SEE PERTINENT DETAILS THE UNAIDED EYE CAN'T SEE, INCLUDING OFFICER SAFETY OBSERVATIONS.</t>
  </si>
  <si>
    <t>2YTGV951998008</t>
  </si>
  <si>
    <t>LOGAN TWP PD (2YTGV9)</t>
  </si>
  <si>
    <t xml:space="preserve">
Sales Order #: 2270071187
RTD Screening Code: DOD
Reason for Rejection: Y9</t>
  </si>
  <si>
    <t>USE TO HAUL POLICE EQUIPMENT TO AND FROM THE RANGE AS WELL AS TO HAUL EQUIPMENT FROM THIS PROGRAM.</t>
  </si>
  <si>
    <t>2YTBCH51998115</t>
  </si>
  <si>
    <t xml:space="preserve">
Sales Order #: 2271031662
RTD Screening Code: DOD
Reason for Rejection: Y9</t>
  </si>
  <si>
    <t>TO AID IN THE TRANSPORT OF PRISONERS FROM THE JAIL TO COURT AS WELL AS TO TRANSPORT SUPPLIES TO AND FROM THE JAIL</t>
  </si>
  <si>
    <t>2YTBCH51998035</t>
  </si>
  <si>
    <t xml:space="preserve">
Sales Order #: 2271830512
RTD Screening Code: DOD
Reason for Rejection: Y9</t>
  </si>
  <si>
    <t>THE HEADLAND POLICE DEPARTMENT AND OFFICERS WOULD BENEFIT FROM THIS EQUIPMENT BY HAVING THE NECCESSARY EQUIPMENT TO BE ABLE TO TRANSPORT EQUIPMENTSAFELY TO AREAS OF NEED AND ASSISTANCE.</t>
  </si>
  <si>
    <t>2YTE9E51998283</t>
  </si>
  <si>
    <t xml:space="preserve">
Sales Order #: 2271716425
RTD Screening Code: DOD
Reason for Rejection: Y9</t>
  </si>
  <si>
    <t>USE BY BAXTER POLICE DEPARTMENT OFFICERS ASSIGNED DUTIES TO TRANSPORT AND MOVE LESO ASSETS TO DISASTER RESPONSE LOCATIONS IN RURAL AREAS.  THIS WILL REPLACE EXISTING RESOURCES THAT ARE BEYOND REPAIR AND MUST BE REPLACED.  THERE ARE CURRENTLY NO BUDGETARY FUNDS FOR SUCH ITEMS.</t>
  </si>
  <si>
    <t>2YTAYQ51998278</t>
  </si>
  <si>
    <t>BAXTER POLICE DEPT (2YTAYQ)</t>
  </si>
  <si>
    <t xml:space="preserve">
Sales Order #: 2269724004
RTD Screening Code: DOD
Reason for Rejection: Y9</t>
  </si>
  <si>
    <t>THESE WOULD BE UTILIZED DURING TRAINING AND OPERATIONS FOR OUR SNIPERS. OUR TEAM IS RESPONSIBLE FOR OVERWATCH FOR SPECIAL EVENTS, RECON FOR SEARCH WARRANTS, AND HOSTAGE RESCUE. OUR TEAM WORKS IN TANDEM AS SNIPER AND SPOTTER TO ALLOW FOR ROTATION OF ROLES DURING LONG CALL-OUT PERIODS. THESE BINOCULARS WOULD ASSIST OUR TEAM IN HAVING A LARGE FIELD OF VIEW TO IDENTIFY THREATS IN THE CROWD AND RELAY INFORMATION TO OUR SNIPERS AND OTHER OFFICERS. I HAVE REQUESTED MORE INFORMATION FOR THIS ITEM.</t>
  </si>
  <si>
    <t>2YTFZZ52068307</t>
  </si>
  <si>
    <t xml:space="preserve">
Sales Order #: 2271692056
RTD Screening Code: DOD
Reason for Rejection: Y9</t>
  </si>
  <si>
    <t>FOR LAW ENFORCEMENT USE BY OFFICERS OF THE NORTH LITTLE ROCK POLICE DEPARTMENT. TO BE UTILIZED FOR PATROL OF THE CITY PARKS AND RECREATION AREAS AS WELL AS DURING INCIDENTS INVOLVING COUNTER TERRORISM AND NATURAL DISASTER AID AND RECOVERY.</t>
  </si>
  <si>
    <t>2YT10751998377</t>
  </si>
  <si>
    <t xml:space="preserve">
Sales Order #: 2271807927
RTD Screening Code: DOD
Reason for Rejection: Y9</t>
  </si>
  <si>
    <t>TLETA IS IN NEED OF AN ATV TO MOVE EQUIPMENT AND AMMUNITION ON OUR FIREARMS RANGE AND TO ALTERNATE TRAINING LOCATIONS.  THIS ATV FITS THE NEED OF TLETA AND WILL BE USED ALMOST ON A DAILY BASIS.  THE ABILITY OF THIS ATV WILL ALLOW US TO ATTACH OUR TRAILER THAT IS USED TO TEACH CADETS TO ENGAGE MOVING TARGETS TO THE RANGE POSITION.  BY USING THIS ATV WE WILL BE ABLE TO MOVE OUR EQUIPMENT AND AMMUNITION IN A MORE EFFICIENT MANNER AND ADD MORE TRAINING TIME VERSES MORE TIME MOVING BY OTHER MEANS.</t>
  </si>
  <si>
    <t>2YTP3551998376</t>
  </si>
  <si>
    <t xml:space="preserve">
Sales Order #: 2269908001
RTD Screening Code: DOD
Reason for Rejection: Y9</t>
  </si>
  <si>
    <t>THE CHEMUNG COUNTY SSU WILL USE THIS ITEM FOR HIGH RISK AND LOW LIGHT OPERATIONS.  WILLING TO ACCEPT IN ITS CURRENT CONIDTION.</t>
  </si>
  <si>
    <t>2YTB9M52068384</t>
  </si>
  <si>
    <t>THE WILLACOOCHEE POLICE DEPARTMENT IS SEEKING TO ACQUIRE A RELIABLE GENERATOR OR ELECTRICAL EQUIPMENT TO ENSURE THAT OUR OPERATIONS REMAIN FULLY FUNCTIONAL DURING POWER OUTAGES. THIS EQUIPMENT IS ESSENTIAL FOR MAINTAINING COMMUNICATION, SUPPORTING ESSENTIAL TECHNOLOGIES, AND ENSURING THE SAFETY OF OUR OFFICERS AND THE COMMUNITY DURING CRITICAL EVENTS.</t>
  </si>
  <si>
    <t>2YTNPQ51998488</t>
  </si>
  <si>
    <t xml:space="preserve">
Sales Order #: 2271918629
RTD Screening Code: DOD
Reason for Rejection: Y9</t>
  </si>
  <si>
    <t>THE VIRGINIA STATE POLICE REQUESTS THIS PROPERTY TO BE UTILIZED BY SWORN PERSONNEL DURING HOT WEATHER IN NUMEROUS BUILDINGS ACROSS THE STATE.</t>
  </si>
  <si>
    <t>2YTMXW51998465</t>
  </si>
  <si>
    <t xml:space="preserve">
Sales Order #: 2272074412
RTD Screening Code: DOD
Reason for Rejection: Y9</t>
  </si>
  <si>
    <t>THE PICKENS COUNTY SHERIFF'S OFFICE SPECIAL RESPONSE TEAM S.W.A.T. . FOR IDENTIFICATION AND DETECTION IN LOW LIGHT CONDITIONS, SUCH AS NIGHT VISION. I UNDERSTAND AND ACCEPT THE EXISTING CONDITION H.</t>
  </si>
  <si>
    <t>2YTJL952068514</t>
  </si>
  <si>
    <t xml:space="preserve">
Sales Order #: 2272075137
RTD Screening Code: RTD2
Reason for Rejection: Y9</t>
  </si>
  <si>
    <t>2YTL1551988553</t>
  </si>
  <si>
    <t xml:space="preserve">
Sales Order #: 2271783558
RTD Screening Code: DOD
Reason for Rejection: Y9</t>
  </si>
  <si>
    <t>WOULD BE ATTACHED TO OUR PATROL RIFLES TO ACCURATELY ENGAGE POTENTIAL TARGETS. DUE TO OUR AGENCY'S LOCATION,THERE IS POTENTIAL TO HAVE TO ENGAGE TARGETS AT LONG DISTANCE. WILL BE CONTACTING SITE TO VERIFY CONDITION AS WELL.</t>
  </si>
  <si>
    <t>2YT17P52068554</t>
  </si>
  <si>
    <t>OTSEGO CSO (2YT17P)</t>
  </si>
  <si>
    <t>I AM A SERGEANT WITH THE SACRAMENTO COUNTY SHERIFF'S OFFICE. I HAVE BEEN TASKED WITH LOCATING EQUIPMENT AND RESOURCES FOR THE SHERIFF'S OFFICE. THE EQUIPMENT- RESOURCES OBTAINED WILL ENHANCE THE SHERIFF OFFICE'S READINESS AND RESPONSE ABILITIES</t>
  </si>
  <si>
    <t>2YTKJH51998590</t>
  </si>
  <si>
    <t>2YTKJH51998588</t>
  </si>
  <si>
    <t>2YTKJH51998587</t>
  </si>
  <si>
    <t>2YTKJH51998586</t>
  </si>
  <si>
    <t>WOULD BE USED BY HUBBARD POLICE OFFICERS TO MEASURE DISTANCE TO TARGETS, USED ON TACTICAL OPERATIONS TO MEASURE DISTANCES AND FOR TRAFFIC CRASH RECONSTRUCTION AND MEASURING DISTANCES FOR REPORTS.</t>
  </si>
  <si>
    <t>2YTFK751998593</t>
  </si>
  <si>
    <t>WOULD BE USED BY HUBBARD POLICE DEPARTMENT TO PROTECT STORED AMMO IN THE HUBBARD POLICE ARMORY AS WELL AS TO STORE OUR OFFICERS AMMO ISSUED TO THEM AND TO BE USED FOR OFFICERS TO TRANSPORT AMMO TO DAYS ASSIGNED TO WEAPONS TRAINING.</t>
  </si>
  <si>
    <t>SHIPPING AND STORAGE CONTAINER,MUNITIONS</t>
  </si>
  <si>
    <t>2YTFK751998592</t>
  </si>
  <si>
    <t>THE ERIN POLICE DEPT. WOULD LIKE TO ACQUIRE THIS VEHICLE FOR USE BY OFFICERS AS A MOBILE OFFICE-RESPITE.</t>
  </si>
  <si>
    <t>MOBILE UNIT,DENTAL</t>
  </si>
  <si>
    <t>2YTDT951998583</t>
  </si>
  <si>
    <t>ERIN POLICE DEPT (2YTDT9)</t>
  </si>
  <si>
    <t xml:space="preserve">
Sales Order #: 2269385389
RTD Screening Code: DOD
Reason for Rejection: YH</t>
  </si>
  <si>
    <t>THE TACTICAL ENTRY TOOLS WILL BE USED BY THE ARP POLICE DEPARTMENT FOR LAW ENFORCEMENT PURPOSES ONLY. OFFICERS WILL USE THE ENTRY TOOLS FOR HIGH RISK WARRANT ENTRIES.</t>
  </si>
  <si>
    <t>TOOL KIT,TACTICAL ENTRY</t>
  </si>
  <si>
    <t>2YTANX51716224</t>
  </si>
  <si>
    <t xml:space="preserve">
Sales Order #: 2269863022
RTD Screening Code: DOD
Reason for Rejection: YH</t>
  </si>
  <si>
    <t>THE SOLDERING GUN WILL BE USED BY THE ARP POLICE DEPARTMENT FOR LAW ENFORCEMENT PURPOSES ONLY. OFFICERS WILL USE THE SOLDERING GUN FOR MAKING REPAIRS TO ELECTRICAL EQUIPMENT IN THE PATROL UNITS.</t>
  </si>
  <si>
    <t>SOLDERING GUN</t>
  </si>
  <si>
    <t>2YTANX51716222</t>
  </si>
  <si>
    <t>LEVEL PLAINS POLICE DEPT WOULD UTILIZE TRUCK TO HAUL TRAILER FOR 1033 AWARDED ITEMS AS WELL AS MOVE DIRT FROM OUR NEW FIRING RANGE THAT HAS BEEN DONATED FOR US TO BUILD ON AND USE.</t>
  </si>
  <si>
    <t>TRUCK,DUMP</t>
  </si>
  <si>
    <t>2YTRNR51786581</t>
  </si>
  <si>
    <t xml:space="preserve">
Sales Order #: 2264560043
RTD Screening Code: DON
Reason for Rejection: YH</t>
  </si>
  <si>
    <t>THESE WILL BE USED BY THE PORTSMOUTH POLICE DEPARTMENT TO SECURE NIGHT VISION DEVICES TO THE ISSUED HELMET SYSTEM, TO ENSURE PROPER MOUNTING. THESE WILL BE TRACKED AND MAINTAINED BY THE PORTSMOUTH POLICE DEPARTMENT.</t>
  </si>
  <si>
    <t>2YTJVC51786798</t>
  </si>
  <si>
    <t xml:space="preserve">
Sales Order #: 2271135565
RTD Screening Code: GSA
Reason for Rejection: YG</t>
  </si>
  <si>
    <t>THIS ITEM IS BEING REQUESTED BY THE WETHERSFIELD POLICE DEPARTMENT TO BE USED BY OFFICERS FOR LAW ENFORCEMENT PURPOSES. THE REQUESTED ITEM WILL BE UTILIZED TO ASSIST AND ENHANCE THE DEPARTMENT'S MARINE UNIT BY ALLOWING ACCESS TO AREAS ALONG THE CT RIVER THAT THE MAIN VESSEL CAN NOT GET INTO.</t>
  </si>
  <si>
    <t>BOAT,LANDING,INFLAT</t>
  </si>
  <si>
    <t>2YTNL151927769</t>
  </si>
  <si>
    <t>WETHERSFIELD POLICE DEPT (2YTNL1)</t>
  </si>
  <si>
    <t>OUR AGENCY CONDUCTS NIGHT OPERATIONS, INCLUDING MANHUNTS AND SRT DEPLOYMENTS, IN RURAL TERRAIN WITH LIMITED LIGHTING. IR LASER DEVICES ARE CRITICAL FOR TARGET IDENTIFICATION AND TEAM COORDINATION UNDER NIGHT VISION. THEY ENHANCE ACCURACY, REDUCE RISK OF BLUE-ON-BLUE, AND INCREASE OPERATIONAL SAFETY. BUDGET CONSTRAINTS PREVENT US FROM EQUIPPING RIFLES WITH THIS ESSENTIAL CAPABILITY.  WE CURRENTLY HAVE PVS14S THROUGH NSW CRANE AND COULD UTILIZE THESE WITH THEM.</t>
  </si>
  <si>
    <t>2YTFKS51998285</t>
  </si>
  <si>
    <t xml:space="preserve">
Sales Order #: 2251744398
RTD Screening Code: DOD
Reason for Rejection: Y9</t>
  </si>
  <si>
    <t>THE COLUMBUS POLICE DEPARTMENT WILL USE THIS CORD TO REPAIR AND SECURE EQUIPMENT AS NEEDED FOR RESPONSE TO CALLS</t>
  </si>
  <si>
    <t>SL</t>
  </si>
  <si>
    <t>CORD,FIBROUS</t>
  </si>
  <si>
    <t>2YTCPL52138625</t>
  </si>
  <si>
    <t xml:space="preserve">
Sales Order #: 2267811070
RTD Screening Code: DOD
Reason for Rejection: BQ</t>
  </si>
  <si>
    <t>WE ARE THE BOAZ POLICE DEPT. WE ARE IN NEED OF A MULTI USE VEHICLE. WE HAVE BEEN TASKED WITH BUILDING A MECHANICS GARAGE. WE HAVE A PERFECT LOCATION BUT NO VEHICLES TO GATHER EQUIPMENT, TOOLBOXES, TOOLS AND OTHER RESOURCES. ALSO, AS A POLICE DEPARTMENT WE NEED A VEHICLE THAT CAN SERVE MANY DUTIES. SUCH AS, TRANSPORTING PRISONERS TO AND FROM. ADDITIONALLY, THE CAPABILITY TO TRANSPORT MANY OFFICERS AT ONCE TO A LOCATION. EQUALLY, THE ABILITY TO EVACUATE MANY VICTIMS AT ONCE. THANK YOU</t>
  </si>
  <si>
    <t>2YTBCH52138646</t>
  </si>
  <si>
    <t>FOR THE PROSPECT POLICE DEPT TO ISSUE TO OFFICERS TO CARRY IN CASE OF EMERGENCIES.</t>
  </si>
  <si>
    <t>2YTJYC52138736</t>
  </si>
  <si>
    <t xml:space="preserve">
Sales Order #: 2269644466
RTD Screening Code: DOD
Reason for Rejection: BQ</t>
  </si>
  <si>
    <t>THE IMLAY CITY POLICE DEPARTMENT IS IN NEED OF WORKING DIGITAL CAMERAS FOR THE DETECTIVE BUREAU. THE CAMERAS WILL BE USED FOR INVESTIGATIONS AND EVIDENCE COLLECTION.</t>
  </si>
  <si>
    <t>2YTFPW52068808</t>
  </si>
  <si>
    <t>THE CLARKE COUNTY SHERIFF'S OFFICE WOULD LIKE TO ACQUIRE THIS MATERIAL TO BE UTILIZED FOR MULTIPLE USES AS CORD AND TO REPLACE WORN OR DAMAGED MATERIAL ON EQUIPMENT UTILIZED BY THE SHERIFF'S OFFICE FOR A MULTITUDE OF MISSIONS.</t>
  </si>
  <si>
    <t>2YTCFW52138778</t>
  </si>
  <si>
    <t xml:space="preserve">
Sales Order #: 2271040657
RTD Screening Code: DOD
Reason for Rejection: YH</t>
  </si>
  <si>
    <t>THE BRISTOL TENNESSEE POLICE DEPARTMENT WOULD USE THIS EQUIPMENT TO EXPAND OUR RANGE FOR BETTER ACTIVE SHOOTER TRAINING. THE BASE STATES THIS RUNS AND THE EQUIPMENT IS USED FOR DIFFERENT PURPOSES THAN OTHER SIMILAR EQUIPMENT PUT IN FOR.</t>
  </si>
  <si>
    <t>2YTBJQ51927544</t>
  </si>
  <si>
    <t xml:space="preserve">
Sales Order #: 2271135587
Reason for Rejection: YH</t>
  </si>
  <si>
    <t>2YTDUF51908048</t>
  </si>
  <si>
    <t xml:space="preserve">
Sales Order #: 2271135579
Reason for Rejection: YH</t>
  </si>
  <si>
    <t>2YTDUF51908041</t>
  </si>
  <si>
    <t xml:space="preserve">
Sales Order #: 2271135590
Reason for Rejection: YH</t>
  </si>
  <si>
    <t>2YTDUF51908040</t>
  </si>
  <si>
    <t xml:space="preserve">
Sales Order #: 2271383102
RTD Screening Code: DOD
Reason for Rejection: YH</t>
  </si>
  <si>
    <t>THE TEHAMA COUNTY SHERIFF'S OFFICE WILL USE FANS, AIR CIRCULATORS, AND BLOWER EQUIP IN OUR RECORDS, JAIL BOOKING, PATROL AND EMERGENCY OPERATION CENTER FOR EMPLOYEE USE DURING DAILY OPERATIONS.</t>
  </si>
  <si>
    <t>2YTLQ751998161</t>
  </si>
  <si>
    <t xml:space="preserve">
Sales Order #: 2271692048
RTD Screening Code: DOD
Reason for Rejection: YH</t>
  </si>
  <si>
    <t>2YTMPA51998139</t>
  </si>
  <si>
    <t xml:space="preserve">
Sales Order #: 2271600393
RTD Screening Code: RTD2
Reason for Rejection: YG</t>
  </si>
  <si>
    <t>THE MARTIN COUNTY SHERIFFS OFFICE WOULD LIKE TO ACQUIRE THE TOOL CABINET TO BE USED IN OUR SHOP TO STORE TOOLS AND VARIOUS SUPPLIES.  THE CABINETS WILL ALLOW QUICKER ACCESS TO NEEDED EQUIPMENT USED IN MAINTAINING AND REPAIRING OUR FLEET AS WELL AS OUR HIGH WATER RESCUE EQUIPMENT..</t>
  </si>
  <si>
    <t>CABINET, TOOL</t>
  </si>
  <si>
    <t>DSCABINE0</t>
  </si>
  <si>
    <t>2YTHDE51918205</t>
  </si>
  <si>
    <t xml:space="preserve">
Sales Order #: 2268473051
RTD Screening Code: DOD
Reason for Rejection: Y9</t>
  </si>
  <si>
    <t>TO BE USED FOR MAINTENANCE AT THE POLICE DEPT AND AROUND THE PREMISES</t>
  </si>
  <si>
    <t>2YTBCH52068502</t>
  </si>
  <si>
    <t xml:space="preserve">
Sales Order #: 2270050076
RTD Screening Code: DOD
Reason for Rejection: Y9</t>
  </si>
  <si>
    <t>THESE ITEMS WOULD BE ISSUED TO LAW ENFORCEMENT OFFICERS WITH OUR DEPARTMENT SWAT TEAM. THESE ITEMS WOULD BE USED TO REPLACE DATED EQUIPMENT AND OUTFIT NEWER SWAT TEAM MEMBERS. THE QUANTITY REQUESTED REFLECTS THE NUMBER OF OFFICERS ON THE DEPARTMENT SWAT TEAM. 
AGENCY IS AWARE OF CONDITION CODE AND WILL CONTACT DLA SITE TO MAKE THEM AWARE.</t>
  </si>
  <si>
    <t>2YTFXU52068575</t>
  </si>
  <si>
    <t xml:space="preserve">
Sales Order #: 2272268719
RTD Screening Code: DOD
Reason for Rejection: Y9</t>
  </si>
  <si>
    <t>THIS ITEM WILL BE STRICTLY USED BY LEOS OF THIS LEA. THIS ITEM WILL BE PLACED IN EACH PATROL VEHICLE TO BE UTILIZED IN RESPONDING AND EVACUATING CITIZENS DURING ACTIVE SHOOTER, NATURAL DISASTERS, AND MASS CASUALTY INCIDENTS.</t>
  </si>
  <si>
    <t>2YTK2052138723</t>
  </si>
  <si>
    <t xml:space="preserve">
Sales Order #: 2270685892
RTD Screening Code: DOD
Reason for Rejection: Y9</t>
  </si>
  <si>
    <t>PICKEN COUNTY SHERIFF'S OFFICE, FOR SPECIAL RESPONSE UNITS. TO BE USED FOR SEARCH AND RESCUE OPERATIONS WITHIN OUR RURAL TERRAIN. ALONG WITH RECOVERY AND TRANSPORTATION OF EQUIPMENT IN THE FIELD DURING THESE OPERATIONS.</t>
  </si>
  <si>
    <t>2YTJL952138653</t>
  </si>
  <si>
    <t>ITEM WILL BE FOR LEO PURPOSES ONLY. FBI BA IS REQUESTING ATV FOR TACTICAL AND EVIDENCE RECOVERY TEAMS TO UTILIZE DURING OPERATIONS TO PROVIDE ACCESS TO REMOTE, ARDUOUS TERRAIN IN WHICH REGULAR VEHICLES WOULD NOT BE ABLE TO ACCESS.</t>
  </si>
  <si>
    <t>2YTRJ352138662</t>
  </si>
  <si>
    <t xml:space="preserve">
Sales Order #: 2269563372
RTD Screening Code: DOD
Reason for Rejection: Y9</t>
  </si>
  <si>
    <t>THE AUGUSTA POLICE DEPARTMENT IS IN NEED OF A REPLACEMENT VEHICLE TO PATROL TOWNSHIP RECREATIONAL TRAILS NOT ACCESSIBLE BY NORMAL PATROL VEHICLES.</t>
  </si>
  <si>
    <t>2YTRJ552138655</t>
  </si>
  <si>
    <t>WE WOULD LIKE TO HAVE THE KITS FOR NEW OFFICERS AND TRAINING. THE KITS INCLUDE THE DUTY BELTS THAT WE USE ON A DAILY BASIS.  THE KITS WILL ONLY BE USED BY OUR POLICE OFFICERS AND WILL HELP US BE BETTER TRAINED AND PREPARED IN EMERGENCY SITUATIONS</t>
  </si>
  <si>
    <t>LAW ENFORCEMENT ENS</t>
  </si>
  <si>
    <t>2YTHQ052068826</t>
  </si>
  <si>
    <t xml:space="preserve">
Sales Order #: 2270685287
RTD Screening Code: DOD
Reason for Rejection: Y9</t>
  </si>
  <si>
    <t>THE HOWELL COUNTY SHERIFF'S OFFICE IS A LAW ENFORCEMENT AGENCY. HCSO WILL USE THESE MEDICAL KITS??FOR EMERGENCY RESPONSE TO NUMEROUS MEDICAL SITUATIONS. THESE KITS WILL BE STOCKED WITH MEDICAL SUPPLIES FOR TREATING INJURIES COMMONLY FOUND IN NATURAL AND MANMADE DISASTERS AS WELL AS OTHER EMERGENCY SITUATIONS DEPUTIES COMMONLY SEE IN THE FIELD.</t>
  </si>
  <si>
    <t>2YTFKX52138627</t>
  </si>
  <si>
    <t>THIS ALL TERRAIN VEHICLE, AGBVUS IS REQUESTED BY HOLLY HILL PD, FOR USE BY HOLLY HILL PD OFFICERS DURING SEARCH AND RESCUE MISSIONS AND OFF ROAD FUGITIVE APPREHENSION.</t>
  </si>
  <si>
    <t>2YTRSD52138759</t>
  </si>
  <si>
    <t xml:space="preserve">
Sales Order #: 2269933905
RTD Screening Code: DOD
Reason for Rejection: Y9</t>
  </si>
  <si>
    <t>GAINESBORO POLICE NEEDS TO GET TO THE ROUGH AND HILLY TERRAIN FOR THE SAFETY OF THE POLICE DEPARTMENT IT WILL BE FOR POLICE WORK ONLY</t>
  </si>
  <si>
    <t>2YTEF652138781</t>
  </si>
  <si>
    <t xml:space="preserve">
Sales Order #: 2269836563
RTD Screening Code: DOD
Reason for Rejection: Y9</t>
  </si>
  <si>
    <t>THE CLARKE COUNTY SHERIFF'S OFFICE WOULD LIKE TO ACQUIRE THIS EQUIPMENT TO BE UTILIZED FOR SPECIAL EVENTS SUCH AS ATV RIDES THAT ARE HOSTED IN THE COUNTY, AND FOR EMERGENCY RESPONSE AT THE EVENTS AS WELL AS NATURAL DISASTER RESPONSE.</t>
  </si>
  <si>
    <t>2YTCFW52138769</t>
  </si>
  <si>
    <t>BROWNWOOD POLICE SWAT HAS NIGHT VISION CAPABILITIES AND ACTIVELY SEEKS COST-EFFECTIVE EQUIPMENT SOLUTIONS. REUTILIZING STEINER DBAL-A2S THROUGH THE TEXAS LESO PROGRAM ALIGNS WITH OUR OPERATIONAL NEEDS AND SUPPORTS TACTICAL READINESS WHILE MAXIMIZING USE OF AVAILABLE GRANT-FUNDED ACCESSORIES. I HAVE VERIFIED THESE UNITS ARE OPERATIONAL VIA DLA SAN ANTONIO AND HAVE THE CAPABILITY TO REPAIR ANY UNITS THAT COME TO US.</t>
  </si>
  <si>
    <t>2YTBMB52138907</t>
  </si>
  <si>
    <t>BROWNWOOD POLICE DEPT (2YTBMB)</t>
  </si>
  <si>
    <t xml:space="preserve">
Sales Order #: 2268825595
RTD Screening Code: GSA
Reason for Rejection: YG</t>
  </si>
  <si>
    <t xml:space="preserve">THE MEADE CO. SHERIFF'S OFFICE WOULD LIKE TO ACQUIRE THESE TOOL BOXES FOR OUR AGENCY'S USE IN STORING TOOLS FOR PREVENTIVE MAINTENANCE AND MINOR REPAIR TO OUR AGENCY'S LAW ENFORCEMENT VEHICLES AND OFF ROAD LAW ENFORCEMENT VEHICLES.
</t>
  </si>
  <si>
    <t>2YTPTW51504994</t>
  </si>
  <si>
    <t>MEADE COUNTY SHERIFF DEPT (2YTPTW)</t>
  </si>
  <si>
    <t xml:space="preserve">
Sales Order #: 2270276921
RTD Screening Code: DOD
Reason for Rejection: YH</t>
  </si>
  <si>
    <t>NETWORK SWITCH WILL BE USED BY HAWTHORNE PD TO SUPPORT ADP OPERATIONS IN ALL AREAS. REPLACING DEVICES THAT ARE NOT FIPS COMPATIBLE TO ENSURE COMPLIANCE AND CYBERSECURITY.</t>
  </si>
  <si>
    <t>2YTE8L51786644</t>
  </si>
  <si>
    <t>HAWTHORNE POLICE DEPT (2YTE8L)</t>
  </si>
  <si>
    <t xml:space="preserve">
Sales Order #: 2264571749
Reason for Rejection: YG</t>
  </si>
  <si>
    <t>FOR POLICE TO GAIN ACCESS TO AREAS DURING INCLEMENT WEATHER OR POOR CONDITIONS, CIVIL OR NATURAL DISASTER EVENTS WHERE LARGE VEHICLES OR 4 WHEEL DRIVE IS NEEDED. ANSWER CALLS FOR SERVICE DURING SEVERE SNOW, TORNADOES, OR DURING HIGH WATER EVENTS.</t>
  </si>
  <si>
    <t>2YTCHC51786635</t>
  </si>
  <si>
    <t>CLAY TWP POLICE DEPT (OTTAWA CTY) (2YTCHC)</t>
  </si>
  <si>
    <t xml:space="preserve">
Sales Order #: 2271290429
RTD Screening Code: DOD
Reason for Rejection: YG</t>
  </si>
  <si>
    <t>THIS TRUCK IS NEEDED BY THE WASHINGTON COUNTY SHERIFF'S OFFICE FOR USE IN LAW ENFORCEMENT DUTIES. THE TRUCK WOULD BE USED TO TRANSPORT OFFICERS AND EQUIPMENT AS WELL AS LARGE ITEMS OF EVIDENCE SEIZED IN CRIMINAL INVESTIGATIONS. FUNDING FOR SUCH A VEHICLE IS NOT AVAILABLE.</t>
  </si>
  <si>
    <t>2YTM9S51997917</t>
  </si>
  <si>
    <t xml:space="preserve">
Sales Order #: 2271191474
RTD Screening Code: GSA
Reason for Rejection: YH</t>
  </si>
  <si>
    <t>I AM WITH THE BRISTOL TENNESSEE POLICE DEPARTMENT AND WE HAD PUT IN AND BEEN AWARDED BOTH OF THESE BUSES OR SIMILAR ONES BEFORE THAT WERE THAN TAKEN BY A HIGH PRIORITY ORDER. WE WOULD USE THESE TWO BUSES TO PROVIDE MOBILE RESPITE TO OFFICERS WHO ARE WORKING LONG HOURS ON LOCATING MISSING CHILDREN AND TO COORDINATE TAKING OUR RESERVE OR AUXILIARY OFFICERS TO LOCATIONS TO ASSIST WITH NATURAL DISASTER LIKE WITH HURRICANE HELENE. WE HAD DIFFICULTY TRANSPORTING THIS GROUP OF OFFICERS.</t>
  </si>
  <si>
    <t>BUS</t>
  </si>
  <si>
    <t>DSBUS0000</t>
  </si>
  <si>
    <t>2YTBJQ51928012</t>
  </si>
  <si>
    <t xml:space="preserve">
Sales Order #: 2271807944
RTD Screening Code: DOD
Reason for Rejection: YG</t>
  </si>
  <si>
    <t>THIS ITEM WILL BE UTILIZED TO FABRICATE AND REPAIR DEPARTMENTAL EQUIPMENT AND ASSETS.</t>
  </si>
  <si>
    <t>LATHE,ENGINE</t>
  </si>
  <si>
    <t>2YT1RJ51998266</t>
  </si>
  <si>
    <t xml:space="preserve">
Sales Order #: 2271768739
RTD Screening Code: DOD
Reason for Rejection: Y9</t>
  </si>
  <si>
    <t>REQUESTED BY NORTH MYRTLE BEACH POLICE DEPARTMENT TO BE USED BY NMB POLICE OFFICERS, AGENCY VOLUNTEERS AND CADETS WHILE DIRECTING TRAFFIC OR OPERATING IN AREAS WITH VEHICULAR TRAFFIC.</t>
  </si>
  <si>
    <t>2YT1PG52068299</t>
  </si>
  <si>
    <t xml:space="preserve">
Sales Order #: 2271789810
RTD Screening Code: DOD
Reason for Rejection: Y9</t>
  </si>
  <si>
    <t>THESE RED DOT SIGHTS WILL BE USED BY OUR SRT OPERATORS AND PATROL OFFICERS TO UPGRADE THEIR RIFLE SIGHTS WHICH WILL MAKE THEM MORE EFFECTIVE.
I HAVE CONTACTED THE BASE AND WE ARE SATISFIED WITH THE CONDITION OF THE OPTICS.</t>
  </si>
  <si>
    <t>2YTHDF52068330</t>
  </si>
  <si>
    <t xml:space="preserve">
Sales Order #: 2271789818
RTD Screening Code: DOD
Reason for Rejection: Y9</t>
  </si>
  <si>
    <t>MANY OF OUR OLD REFLEX SIGHTS ARE BROKEN AND OUT OF SERVICE. THESE UNITS WILL BE UTILIZED TO REPLACE THOSE UNITS AND HELP SUPPORT OUR OFFICERS. THEY WILL PRIMARILY BE ISSUED TO OUR SWAT TEAM AND ONLY OFFICERS ISSUED A DEPARTMENTAL RIFLE. OUR LONG GUNS ARE USED FOR ACTIVE SHOOTER RESPONSE, FELONY WARRANT SERVICES, BARRICADED SUBJECTS, HOSTAGE SITUATIONS, AND FELONY TRAFFIC STOPS. SUPERIOR ACCURACY IS CRUCIAL NOT ONLY FOR STOPPING THE THREAT BUT FOR THE SAFETY OF THE PUBLIC WE PROTECT.</t>
  </si>
  <si>
    <t>2YTFZZ52068309</t>
  </si>
  <si>
    <t xml:space="preserve">
Sales Order #: 2270131183
RTD Screening Code: DOD
Reason for Rejection: Y9</t>
  </si>
  <si>
    <t>WILL BE USED BY FULLTIME CERTIFIED DEPUTIES ON OFFICE OWNED AND ASSIGNED AR15 RIFLES.</t>
  </si>
  <si>
    <t>2YTFW352068328</t>
  </si>
  <si>
    <t>JASPER COUNTY SHERIFF OFFICE (2YTFW3)</t>
  </si>
  <si>
    <t xml:space="preserve">
Sales Order #: 2269724005
RTD Screening Code: DOD
Reason for Rejection: Y9</t>
  </si>
  <si>
    <t>THE HOWELL COUNTY SHERIFF'S OFFICE IS A LAW ENFORCEMENT AGENCY. HCSO WILL THESE HEADSETS FOR COMMUNICATION PURPOSES DURING EMERGENCY RESPONSE TO NATURAL AND MANMADE DISASTERS, ACTIVE SHOOTERS MANHUNTS, AND OTHER EMERGENCY SITUATIONS AS THEY ARISE.</t>
  </si>
  <si>
    <t>2YTFKX52068315</t>
  </si>
  <si>
    <t xml:space="preserve">
Sales Order #: 2272124126
RTD Screening Code: DOD
Reason for Rejection: Y9</t>
  </si>
  <si>
    <t>2YTMRF52068340</t>
  </si>
  <si>
    <t xml:space="preserve">
Sales Order #: 2271768744
RTD Screening Code: DOD
Reason for Rejection: Y9</t>
  </si>
  <si>
    <t>IF AWARDED THESE WOULD BE PLACED ON OUR LAST RIFLES THAT WE HAVE AT THE SHERIFF'S OFFICE THAT DO NOT HAVE AN OPTIC. THE OPTIC WILL MAKE IT MUCH EASIER FOR THE DEPUTYS TO MAKE A PRECISION SHOT IF NEED BE,</t>
  </si>
  <si>
    <t>2YTM9S52068363</t>
  </si>
  <si>
    <t xml:space="preserve">
Sales Order #: 2270171040
RTD Screening Code: DOD
Reason for Rejection: YH</t>
  </si>
  <si>
    <t>THE ALABAMA LAW ENFORCEMENT AGENCY CURRENTLY OPERATES A UH-1H HELICOPTER.  THE UNIT SUPPORTS STATE, LOCAL AND FEDERAL AGENCIES IN A LAW ENFORCEMENT CAPACITY.  THIS AIRCRAFT IS USED IN THE SUPPORT OF OUR RESCUE PROGRAM, TACTICAL OPERATIONS AND HOMELAND SECURITY MISSIONS.  THESE PARTS WILL CONTINUE TO SUSTAIN UNIT OPERATIONS FOR THE FUTURE.</t>
  </si>
  <si>
    <t>SUPPORT ASSEMBLY,SW</t>
  </si>
  <si>
    <t>2YTN4N52348470</t>
  </si>
  <si>
    <t xml:space="preserve">
Sales Order #: 2271783554
RTD Screening Code: DOD
Reason for Rejection: YH</t>
  </si>
  <si>
    <t>WILL BE USED AS MEDICAL FIRST AID KITS FOR PATROL DEPUTIES AT PLACER COUNTY SHERIFFS OFFICE. THEY WILL BE DEPLOYED ON MEDICAL EMERGENCIES AND CRITICAL INCIDENTS.</t>
  </si>
  <si>
    <t>2YTJPN51998521</t>
  </si>
  <si>
    <t xml:space="preserve">
Sales Order #: 2272268714
RTD Screening Code: DOD
Reason for Rejection: Y9</t>
  </si>
  <si>
    <t>FOR USE BY THIS AGENCY, ORANGE POLICE ONLY. THE TRAILER WILL BE USE BY COMMUNITY SERVICE BUREAU AS A MOBILE SUPPORT UNIT DURING DEPARTMENT FUNCTIONS SUCH AS LARGE PUBLIC GATHERINGS, COMMUNITY OUTREACH EVENTS, AND FUNDRAISERS. THE TRAILER WILL HOUSE EQUIPMENT AND ALLOW FOR EFFICIENT DEPLOYMENT TO OPERATE AS CENTRALIZED RESOURCE IN THE FIELD. IT WILL ENHANCE THE DEPARTMENT'S ABILITY TO ACT EFFECTIVELY AND MAINTAIN A STRONG PRESENCE DURING COMMUNITY-FOCUSED ACTIVITIES.</t>
  </si>
  <si>
    <t>2YT15D52138628</t>
  </si>
  <si>
    <t xml:space="preserve">
Sales Order #: 2270685888
RTD Screening Code: DOD
Reason for Rejection: Y9</t>
  </si>
  <si>
    <t>REQUESTED BY NORTH MYRTLE BEACH POLICE DEPARTMENT FOR USE BY NMB POLICE OFFICERS FOR THE STORAGE AND TRANSPORTATION OF AGENCY EQUIPMENT.</t>
  </si>
  <si>
    <t>2YT1PG52138610</t>
  </si>
  <si>
    <t>I HAVE CONTACTED THE SITE AND CONFIRMED CONDITION MEETS NEEDS FOR USE IN THE LRFO FOR NIGHT VISION OPERATIONAL PURPOSES</t>
  </si>
  <si>
    <t>2YTMRY52138647</t>
  </si>
  <si>
    <t xml:space="preserve">
Sales Order #: 2267811075
RTD Screening Code: DOD
Reason for Rejection: Y9</t>
  </si>
  <si>
    <t>THE DALE COUNTY SHERIFF'S OFFICE IS REQUESTING THIS TRAILER FOR OUR DEPUTIES TOO USE AS A SUPPORT TRAILER. IT WILL BE USED FOR TRANSPORTING LAW ENFORCEMENT EQUIPMENT TO AND FROM SCENES.</t>
  </si>
  <si>
    <t>2YTC2852138616</t>
  </si>
  <si>
    <t xml:space="preserve">
Sales Order #: 2269836561
RTD Screening Code: DOD
Reason for Rejection: Y9</t>
  </si>
  <si>
    <t>WE ARE THE BOAZ POLICE DEPT. WE HAVE BEEN GIVEN THE TASK OF PUTTING TOGETHER A MECHANICS GARAGE TO REPAIR OUR VEHICLES. THE PROBLEM, WE NEED A TRAILER AND TRUCKS TO GATHER EQUIPMENT, TOOL BOXES, TOOLS ETC. WE HAVE ABOUT 30 CARS IN OUR FLEET. A TRAILER WOULD HELP US TO TRANSPORT SUPPLIES FOR OTHER EMERGENCIES, SUCH AS BAD WEATHER ASSIGNMENTS AND SUPPLY TRANSPORT TO AFFECTED LOCATIONS. THANK YOU FOR YOUR CONSIDERATION</t>
  </si>
  <si>
    <t>2YTBCH52138641</t>
  </si>
  <si>
    <t xml:space="preserve">
Sales Order #: 2270093343
RTD Screening Code: DOD
Reason for Rejection: Y9</t>
  </si>
  <si>
    <t>WASHINGTON COUNTY SHERIFF'S OFFICE IS A LAW ENFORCEMENT AGENCY IN THE STATE OF VIRGINIA. OUR AGENCY COULD USE THIS TRAILER FOR CRIME SCENE INVESTIGATIONS FOR OUR CRIMINAL INVESTIGATION DIVISION. I WOULD CONSIDER THIS A SPECIALIZED TRAILER. IN THE PAST 3 YEARS WE HAVE SEVERAL SPECIALIZE TRAILERS LIKE LIGHT TOWER, ATV,AUTO TRANSPORT, ETC. THIS TRAILER WILL BE USE BY LAW ENFORCEMENT PERSONNEL.</t>
  </si>
  <si>
    <t>2YTM9Q52138687</t>
  </si>
  <si>
    <t xml:space="preserve">
Sales Order #: 2267811062
RTD Screening Code: DOD
Reason for Rejection: Y9</t>
  </si>
  <si>
    <t>REQUESTED BY SCDPS TO BE USED BY SCDPS LAW ENFORCEMENT OFFICERS AS A MOBILE TRAINING OFFICE FOR RANGES WITH NO FACILITY.</t>
  </si>
  <si>
    <t>2YTKTF52138692</t>
  </si>
  <si>
    <t xml:space="preserve">
Sales Order #: 2269836570
RTD Screening Code: DOD
Reason for Rejection: Y9</t>
  </si>
  <si>
    <t>TO BE USED BY THE NOKOMIS POLICE DEPARTMENT DURING THE NIGHT SHIFT TO AID IN OBSERVATION DURING TIMES OF LIMITED TO NO VISIBILITY.</t>
  </si>
  <si>
    <t>THERMAL IMAGING SYSTEM</t>
  </si>
  <si>
    <t>2YT1MW52138649</t>
  </si>
  <si>
    <t xml:space="preserve">
Sales Order #: 2251744403
RTD Screening Code: DOD
Reason for Rejection: Y9</t>
  </si>
  <si>
    <t>THIS UNIT WILL BE USE TO TRANSPORT ATVS AND EQUIPMENT TO THE SITE OF DIFFERENT PROGRAMS AND OPERATIONS HELD DURING THE YEAR ON THE EXTENSIVE PARK GROUNDS FOR SURVEILLANCE AND CROWD CONTROL BY THE GCPRANGERS</t>
  </si>
  <si>
    <t>2YTPEQ52138657</t>
  </si>
  <si>
    <t xml:space="preserve">
Sales Order #: 2267811071
RTD Screening Code: DOD
Reason for Rejection: Y9</t>
  </si>
  <si>
    <t>2YTC8P52138724</t>
  </si>
  <si>
    <t xml:space="preserve">
Sales Order #: 2272268711
RTD Screening Code: DOD
Reason for Rejection: Y9</t>
  </si>
  <si>
    <t>THE ASHE COUNTY SHERIFF'S OFFICE REQUESTS THIS ITEM TO BE USED DURING SEARCH AND RESCUE OPERATIONS. THIS TRAILER WOULD BE USED TO TRANSPORT EQUIPMENT AND AS A COMMAND CENTER WHEN SEARCHING FOR MISSING PERSONS HERE IN THE MOUNTAINS.</t>
  </si>
  <si>
    <t>2YTA0F52138722</t>
  </si>
  <si>
    <t xml:space="preserve">
Sales Order #: 2270087885
RTD Screening Code: DOD
Reason for Rejection: Y9</t>
  </si>
  <si>
    <t>THE WILLACOOCHEE POLICE DEPARTMENT URGENTLY NEEDS A CARGO TRAILER TO TRANSPORT ESSENTIAL ITEMS FOR OUR OPERATIONS. DURING HURRICANE HELENE, WE ENCOUNTERED SIGNIFICANT CHALLENGES IN DELIVERING SUPPLIES, WHICH HINDERED OUR ABILITY TO RESPOND EFFECTIVELY TO EMERGENCIES AND SERVE THE COMMUNITY.</t>
  </si>
  <si>
    <t>2YTNPQ52138756</t>
  </si>
  <si>
    <t xml:space="preserve">
Sales Order #: 2270093338
RTD Screening Code: DOD
Reason for Rejection: Y9</t>
  </si>
  <si>
    <t>THE WAKE COUNTY SHERIFF'S OFFICE WOULD LIKE TO OBTAIN THIS ITEM.  IT WOULD BE ISSUED TO OUR COMMUNITY RELATIONS TEAM AND USED IN COMMUNITY OUTREACH EVENTS.</t>
  </si>
  <si>
    <t>2YTM4X52138785</t>
  </si>
  <si>
    <t xml:space="preserve">
Sales Order #: 2269858188
RTD Screening Code: DOD
Reason for Rejection: Y9</t>
  </si>
  <si>
    <t>DEPUTIES WILL USE THIS TO MAKE PARTS FOR LAW ENFORCEMENT EQUIPMENT WHEN PARTS ARE NOT AVAILABLE FROM SUPPLIERS.  WILL ALSO USE TO MAKE MODIFICATIONS AND OTHER REPAIRS TO LAW ENFORCEMENT EQUIPMENT TO MAKE IT SAFER FOR THE PUBLIC AND DEPUTIES</t>
  </si>
  <si>
    <t>PRINTER, 3D</t>
  </si>
  <si>
    <t>DS3DPRINT</t>
  </si>
  <si>
    <t>2YTGMZ52068815</t>
  </si>
  <si>
    <t xml:space="preserve">
Sales Order #: 2270093340
RTD Screening Code: DOD
Reason for Rejection: Y9</t>
  </si>
  <si>
    <t>JOHNSON COUNTY SHERIFF'S OFFICE WILL UTILIZE THIS AS A MOBILE COMMAND POST AND CRIME SCENE TRAILER.</t>
  </si>
  <si>
    <t>2YTFZ852138744</t>
  </si>
  <si>
    <t>THIS PVS-15C WILL BE ISSUED FOR FBI USE DURING SURVEILLANCE OPERATIONS. THE NIGHT OPTIC WILL ALLOW FOR THREAT EVALUATION AND PATTERN OF LIFE DURING INVESTIGATIONS. THE SITE HAS BEEN CONTACTED REGARDING THE CONDITION OF THIS OPTIC.</t>
  </si>
  <si>
    <t>2YTMSD52138850</t>
  </si>
  <si>
    <t xml:space="preserve">I HAVE CONTACTED THE SITE AND CONFIRM AND ACCEPT THE CONDITION CODE OF THE ITEMS.  FEDERAL SCREENER FOR DIVISION WITH 200 LAW ENFORCEMENT AGENTS TO INCLUDE 19 SWAT OPERATORS.  MOST OPERATORS ARE USING SINGLE TUBE NVGS THAT ARE OUT OF WARRANTY.  DUE TO A MAJORITY OF HIGH RISK OPERATIONS IN LOW LIGHT CONDITIONS IT IS CRITICAL TO HAVE BETTER EQUIPMENT FOR OFFICER SAFETY.  THERE HAS BEEN NO FUNDING FOR NIGHT VISION OPTICS NOR HAS THERE BEEN FOR YEARS. 
</t>
  </si>
  <si>
    <t>2YTQY152138788</t>
  </si>
  <si>
    <t xml:space="preserve">
Sales Order #: 2272268722
RTD Screening Code: DOD
Reason for Rejection: Y9</t>
  </si>
  <si>
    <t>THE TOWN OF CARMEL POLICE DEPARTMENT WILL USE THIS TRAILER AS A MOBILE COMMAND POST FOR THE SWAT TEAM, ALONG WITH IT BEING USED BY THE PATROL DIVISION AT LARGE SCALE EVENTS AND THE DETECTIVE DIVISION AT EXTENDED CRIME SCENES. THE DEPARTMENT CURRENTLY DOES NOT HAVE ANY ABILITY TO HAVE A MOBILE COMMAND POST.</t>
  </si>
  <si>
    <t>2YTBZS52138780</t>
  </si>
  <si>
    <t>BUTLER COUNTY SHERIFF'S OFFICE WILL USE THIS EQUIPMENT TO STORE EQUIPMENT AT THE DEPARTMENT FIRING RANGE.</t>
  </si>
  <si>
    <t>2YTBQJ52068844</t>
  </si>
  <si>
    <t>TO BE ISSUED TO THE SURVEILLANCE TEAM FOR PRE DRUG WARRANT SERVICE SCOUTING AS WELL AS SEARCHING FORM MISSING PERSON IN THE PARKS</t>
  </si>
  <si>
    <t>2YTLK552138879</t>
  </si>
  <si>
    <t xml:space="preserve">
Sales Order #: 2271040432
RTD Screening Code: DOD
Reason for Rejection: YG</t>
  </si>
  <si>
    <t>THE WAYNE COUNTY SHERIFF'S OFFICE WOULD LIKE TO REQUEST THIS ITEM. THE GATOR WILL BE USED FOR PATROL AND MAINTENANCE ACTIVITIES ON OUR FAIRGROUNDS, AND ALONG THE RAILS TO TRAILS THAT HAS MULTIPLE PATHS THAT REACH THE LENGTH OF OUR COUNTY. ALL EMPLOYEES WILL HAVE ACCESS TO THIS PARTICULAR VEHICLE WHICH WILL SERVE THE ENTIRE COUNTY.</t>
  </si>
  <si>
    <t>2YTNDR51927613</t>
  </si>
  <si>
    <t xml:space="preserve">
Sales Order #: 2271789824
RTD Screening Code: ACCM
Reason for Rejection: YG</t>
  </si>
  <si>
    <t>2YTKSE5197KM18</t>
  </si>
  <si>
    <t xml:space="preserve">
Sales Order #: 2269563371
RTD Screening Code: DOD
Reason for Rejection: Y9</t>
  </si>
  <si>
    <t>ONEONTA POLICE DEPARTMENT WILL USE THESE MOTORCYCLES FOR ERAD HELPING OPD FIND MARIJUANA GROWS.</t>
  </si>
  <si>
    <t>2YT13U52138635</t>
  </si>
  <si>
    <t xml:space="preserve">
Sales Order #: 2270002386
RTD Screening Code: DOD
Reason for Rejection: Y9</t>
  </si>
  <si>
    <t>FRANKLIN COUNTY SHERIFF OFFICE WOULD USE THIS EQUIPMENT FOR UNLOADING EQUIPMENT AND SUPPLIES DURING NATURAL DISASTERS.</t>
  </si>
  <si>
    <t>2YTPD952138971</t>
  </si>
  <si>
    <t xml:space="preserve">
Sales Order #: 2269487755
RTD Screening Code: DOD
Reason for Rejection: Z2</t>
  </si>
  <si>
    <t>THE OWEGO VILLAGE POLICE DEPARTMENT WOULD USE THIS ITEM IN CONNECTION WITH A VEHICLE THAT WE CURRENTLY HAVE IN OUR INVENTORY THAT WE USE IN OUR EMERGENCY RESPONSE PLANS AND DISASTER RECOVERY EFFORTS</t>
  </si>
  <si>
    <t>LADDER,VEHICLE BOAR</t>
  </si>
  <si>
    <t>2YT18K51575984</t>
  </si>
  <si>
    <t xml:space="preserve">
Sales Order #: 2271135589
RTD Screening Code: DOD
Reason for Rejection: YG</t>
  </si>
  <si>
    <t>TO BE USED BY POLICE OFFICERS TO TREAT THEMSELVES, THEIR PARTNERS, AND THE CITIZENS OF THE COMMUNITY WITH THE GOAL OF SAVING LIVES.</t>
  </si>
  <si>
    <t>2YTEC851997912</t>
  </si>
  <si>
    <t xml:space="preserve">
Sales Order #: 2269723994
RTD Screening Code: DOD
Reason for Rejection: Y9</t>
  </si>
  <si>
    <t>FOR USE BY ON DUTY OSD OFFICERS ASSIGNED TO THE SHERIFF'S SEARCH AND RESCUE TEAM. THIS SYSTEM WILL PROVIDE LIFTING CAPABILITIES WHEN RESPONDING TO TECHNICAL RESCUE CALLS INVOLVING COLLAPSED, OVERTURNED, OR PINNED OBJECTS. CURRENTLY THE SHERIFF'S OFFICE DOES NOT HAVE THIS CAPABILITY.</t>
  </si>
  <si>
    <t>KEVLAR BAG SYSTEM</t>
  </si>
  <si>
    <t>2YT1WK52068303</t>
  </si>
  <si>
    <t xml:space="preserve">
Sales Order #: 2271789814
RTD Screening Code: DOD
Reason for Rejection: Y9</t>
  </si>
  <si>
    <t xml:space="preserve">
THE HOWELL COUNTY SHERIFF'S OFFICE IS A LAW ENFORCEMENT AGENCY. THESE LIGHTING BAGS WOULD BE UTILIZED DURING EMERGENCIES LIKE NATURAL DISASTERS, MAN MADE DISASTER, VEHICLE ACCIDENTS, BUILDING COLLAPSES AND OTHER CRISES. THESE BAGS WOULD ALLOW FOR LIGHTING AND MOVING OF DEBRIS TO SECURE DEBRIS FOR FIRST RESPONDERS AND SHORE UP OR MOVE DEBRIS TO ALLOW ACCESS TO VICTIMS OF THE INCIDENT. THESE SYSTEMS WILL BE PLACED IN HCSO DISASTER RESPONSE VEHICLES AND WILL BENEFIT THE ENTIRE REGION.</t>
  </si>
  <si>
    <t>2YTFKX52068314</t>
  </si>
  <si>
    <t xml:space="preserve">
Sales Order #: 2271830548
RTD Screening Code: DOD
Reason for Rejection: Y9</t>
  </si>
  <si>
    <t>2YTRGK52068346</t>
  </si>
  <si>
    <t xml:space="preserve">
Sales Order #: 2271807938
RTD Screening Code: DOD
Reason for Rejection: YG</t>
  </si>
  <si>
    <t>THE KANAWHA COUNTY PARKS POLICE DEPARTMENT WILL USE THIS WATER STORAGE TANK FOR THE LAW ENFORCMENT PURPOSE OF PROVIDING EMERGENCY WATER TO OUR DEPARTMENTS FACILITY</t>
  </si>
  <si>
    <t>2YT0HA51998395</t>
  </si>
  <si>
    <t>KANAWHA COUNTY PARK POLICE DEPT (2YT0HA)</t>
  </si>
  <si>
    <t xml:space="preserve">
Sales Order #: 2269140293
RTD Screening Code: DOD
Reason for Rejection: Y9</t>
  </si>
  <si>
    <t>GENERATOR,ALTERNATING CURRENT</t>
  </si>
  <si>
    <t>2YTNPQ52068480</t>
  </si>
  <si>
    <t xml:space="preserve">
Sales Order #: 2272251532
RTD Screening Code: DOD
Reason for Rejection: Y9</t>
  </si>
  <si>
    <t>LEVEL PLAINS POLICE DEPT WOULD UTILZE TO ORGANIZE, STORE AND ARRANGE POLICE INVENTORY IN HIGH TO RERACH AREAS.</t>
  </si>
  <si>
    <t>2YTRNR52068485</t>
  </si>
  <si>
    <t xml:space="preserve">
Sales Order #: 2271830543
RTD Screening Code: DOD
Reason for Rejection: Y9</t>
  </si>
  <si>
    <t>WEBB PD USE FOR POLICE DEPT OUTSIDE BUILDING MAINTENANCE THAT CAN'T BE DONE SAFELY USING LADDERS.</t>
  </si>
  <si>
    <t>2YTRL452068505</t>
  </si>
  <si>
    <t xml:space="preserve">
Sales Order #: 2270080980
RTD Screening Code: DOD
Reason for Rejection: Y9</t>
  </si>
  <si>
    <t>ITEM BE USED BY THE ERATH COUNTY SHERIFF OFFICE FOR LAW ENFORCEMENT USE ONLY. IT WILL BE USED TO STORE EQUIPMENT AND VEHICLE PARTS IN ORDER TO KEEP THEM OUT OF THE WEATHER. THIS WILL ALLOW US TO RESELL THE VEHICLE WITH THE EQUIPMENT WE REMOVED FOR UPFIT AND ALLOW US TO PROVIDE SAFE PARTS BACK TO THE HOWEVER PURCHASES THE VEHICLE AFTER WE ARE GONE. THIS ALLOWS US TO HAVE MORE SPACE IN OUR OFFICE FOR ADDITIONAL PERSONAL.</t>
  </si>
  <si>
    <t>2YTDTW52138848</t>
  </si>
  <si>
    <t xml:space="preserve">
Sales Order #: 2269388278
RTD Screening Code: DOD
Reason for Rejection: Y9</t>
  </si>
  <si>
    <t>ITEM BE USED BY THE ERATH COUNTY SHERIFF OFFICE FOR LAW ENFORCEMENT USE ONLY. IT WILL BE USED TO ADD TO OUR TRAINING HOUSE THAT IS CURRENTLY BEING BUILT. THIS WILL ALLOW US TO INCREASE OUR CAPABILITIES INTO MULTI STORE TRAINING AND TO INCREASE OUR ABILITY TO CLEAR AND RESCUE HOSTAGES OR LOCATE SUSPECTS SAFELY.</t>
  </si>
  <si>
    <t>2YTDTW52138847</t>
  </si>
  <si>
    <t xml:space="preserve">
Sales Order #: 2270080975
RTD Screening Code: DOD
Reason for Rejection: Y9</t>
  </si>
  <si>
    <t>2YTDTW52138846</t>
  </si>
  <si>
    <t xml:space="preserve">
Sales Order #: 2269808043
RTD Screening Code: DOD
Reason for Rejection: Y9</t>
  </si>
  <si>
    <t>THE YUMA POLICE DEPARTMENT IS REQUESTING THIS ITEMS TO BE USED AT OUR TRAINING FACILITY TO ALLOW OFFICERS TO IMPROVE AND MAINTAIN THEIR PHYSICAL FITNESS.  AN APPROPRIATE FITNESS LEVEL IS ESSENTIAL TO OFFICERS WHEN RESPONDING TO CRITICAL INCIDENTS, ARRESTING SUSPECT, AND ENSURING READINESS IN THEIR WORK.</t>
  </si>
  <si>
    <t>2YTN1M52068787</t>
  </si>
  <si>
    <t xml:space="preserve">
Sales Order #: 2270085894
RTD Screening Code: DOD
Reason for Rejection: Y9</t>
  </si>
  <si>
    <t>BIN'S WILL BE USED BY LAW ENFORCEMENT OFFICERS OF THE SHERIFF'S OFFICE TO STORE EQUIPMENT IN THEIR DEPARTMENT ISSUED VEHICLE.</t>
  </si>
  <si>
    <t>2YT03F52138951</t>
  </si>
  <si>
    <t xml:space="preserve">
Sales Order #: 2272251551
RTD Screening Code: DOD
Reason for Rejection: Y9</t>
  </si>
  <si>
    <t>THE SAN JOAQUIN COUNTY SHERIFFS OFFICE IS REQUESDTING THIS MOTORIZED CART FOR ITS K9 TEAM WHICH WILL BE USED FOR LAW ENFORCEMENT TRANSPORT OF K9 DOGS AND SUPPLIES. THIS WILL BE USED 100 PERCENT FOR LAW ENFORCEMENT AND SECURED AND STORED AT THE SHERIFFS OFFICE FACILITY.</t>
  </si>
  <si>
    <t>2YTK0952138963</t>
  </si>
  <si>
    <t xml:space="preserve">
Sales Order #: 2270687247
RTD Screening Code: GSA
Reason for Rejection: Y9</t>
  </si>
  <si>
    <t>MCSO HAS A 300 ACRE TRACK OF LAND THAT HAS SEVERAL FACILITIES AND ROADS THAT NEED TO BE MAINTAINED. WE ARE CURRENTLY IN NEED OF SKIDS STEERS FOR MAINTENANCE OF OUR FACILITY</t>
  </si>
  <si>
    <t>2YTHYN52057782</t>
  </si>
  <si>
    <t xml:space="preserve">
Sales Order #: 2254375589
RTD Screening Code: DOD
Reason for Rejection: Y9</t>
  </si>
  <si>
    <t>THE CLAY COUNTY SHERIFFS OFFICE NEEDS THIS AS WEATHERPROOF STORAGE OF MISSION ESSENTIAL EQUIPMENT FOR SEARCH RESCUE AND CRITICAL INCIDENT RESPONSE</t>
  </si>
  <si>
    <t>CASE,SHELTER</t>
  </si>
  <si>
    <t>2YTCGY52066855</t>
  </si>
  <si>
    <t>CLAY CSO (2YTCGY)</t>
  </si>
  <si>
    <t>2YTRSC51787025</t>
  </si>
  <si>
    <t xml:space="preserve">
Sales Order #: 2271768735
RTD Screening Code: DOD
Reason for Rejection: Y9</t>
  </si>
  <si>
    <t>WASHINGTON COUNTY SHERIFF'S OFFICE IS A LAW ENFORCEMENT AGENCY IN THE STATE OF VIRGINIA. OUR AGENCY COULD USE THESE TWO CHEVROLET HHR SEDAN'S  FOR PATROLING AND PRISIONER TRANSPORTS. THESE VEHICLE WILL BE USE BY LAW ENFORCEMENT PERSONNEL.</t>
  </si>
  <si>
    <t>2YTM9Q52068317</t>
  </si>
  <si>
    <t xml:space="preserve">
Sales Order #: 2271880444
RTD Screening Code: DOD
Reason for Rejection: Y9</t>
  </si>
  <si>
    <t>2YTMRF52067841</t>
  </si>
  <si>
    <t xml:space="preserve">
Sales Order #: 2271768732
RTD Screening Code: DOD
Reason for Rejection: Y9</t>
  </si>
  <si>
    <t>REQUESTED BY NORTH MYRTLE BEACH POLICE DEPARTMENT TO BE USED BY NMB POLICE OFFICERS DURING HURRICANES, LARGE SCALE INCIDENTS AND OTHER NATURAL DISASTERS AS A MOBILE UNIT FOR OFFICERS TO ESCAPE THE ELEMENTS.</t>
  </si>
  <si>
    <t>2YT1PG52068351</t>
  </si>
  <si>
    <t xml:space="preserve">
Sales Order #: 2272251535
RTD Screening Code: DOD
Reason for Rejection: Y9</t>
  </si>
  <si>
    <t>LEVEL PLAINS POLICE DEPT WOULD USE TRUCK TO HAUL 1033 ITEMS AND ALSO USE IN ANIMAL CONTROL ASSIGNMENTS AS WELL</t>
  </si>
  <si>
    <t>2YTRNR52068352</t>
  </si>
  <si>
    <t xml:space="preserve">
Sales Order #: 2271830537
RTD Screening Code: DOD
Reason for Rejection: Y9</t>
  </si>
  <si>
    <t>STORAGE CONTAINER WILL BE DIRECTLY ISSUED TO A USBP SECTOR FOR ORGANIZED STORAGE THAT REQUIRES REFRIGERATION AND PROTECTION FROM THE 
ELEMENTS.</t>
  </si>
  <si>
    <t>2YTMDH52068394</t>
  </si>
  <si>
    <t xml:space="preserve">
Sales Order #: 2272251540
RTD Screening Code: DOD
Reason for Rejection: Y9</t>
  </si>
  <si>
    <t>LEVEL PLAINS POLICE DEPT WOULD UTILEZ IN PERFORMING POLICE DUTIES, CUTTING SELT BELTS AS WELL AS ANY OTHER EMERGENCY SITUATION NEEDED.</t>
  </si>
  <si>
    <t>2YTRNR52068484</t>
  </si>
  <si>
    <t xml:space="preserve">
Sales Order #: 2270131193
RTD Screening Code: DOD
Reason for Rejection: Y9</t>
  </si>
  <si>
    <t>TENTS WILL BE USED FOR SOUTH WEST BORDER SECURITY LAW ENFORCEMENT OPERATIONS. TENTS WILL HOUSE FEDERAL AGENTS FROM REST, PLANNING AND BRIEFINGS</t>
  </si>
  <si>
    <t>2YTRGK52068476</t>
  </si>
  <si>
    <t xml:space="preserve">
Sales Order #: 2271880450
RTD Screening Code: DOD
Reason for Rejection: Y9</t>
  </si>
  <si>
    <t>2YTN1M52068513</t>
  </si>
  <si>
    <t xml:space="preserve">
Sales Order #: 2272251534
RTD Screening Code: DOD
Reason for Rejection: Y9</t>
  </si>
  <si>
    <t>LEVEL PLAINS POLICE DEPARTMENT WOULD UTILIZE TRUCK AS PART OF POLICE FLEET TO USE DAILY.</t>
  </si>
  <si>
    <t>2YTRNR52068520</t>
  </si>
  <si>
    <t xml:space="preserve">
Sales Order #: 2269933906
RTD Screening Code: DOD
Reason for Rejection: Y9</t>
  </si>
  <si>
    <t>TRUCK WILL BE USED AS AN ARSON RESPONSE VEHICLE BY THE GREENE COUNTY SHERIFFS OFFICE. THIS WILL ALLOW THE ARSON INVESTIGATORS TO CARRY ALL THEIR EQUIPMENT ON ONE VEHICLE MAKING IT EASIER TO RESPOND AND PROCESS A SCENE.</t>
  </si>
  <si>
    <t>2YTET652138613</t>
  </si>
  <si>
    <t xml:space="preserve">
Sales Order #: 2251744393
RTD Screening Code: DOD
Reason for Rejection: Y9</t>
  </si>
  <si>
    <t>THE NORTHAMPTON SHERIFF'S OFFICE, A LAW ENFORCEMENT AGENCY, REQUESTS THIS EQUIPMENT BE ISSUED TO OUR AGENCY.  WE WILL ISSUE THESE BAGS TO EACH DEPUTY TO BE PUT IN THEIR PATROL VEHICLES TO STORE AND ORGANIZE THEIR EQUIPMENT.  THIS WILL MAKE IT EASIER TO ACCESS THEIR EQUIPMENT AND RETRIEVE IT WHEN NEEDED.</t>
  </si>
  <si>
    <t>2YT1QG52138710</t>
  </si>
  <si>
    <t xml:space="preserve">
Sales Order #: 2270080977
RTD Screening Code: DOD
Reason for Rejection: Y9</t>
  </si>
  <si>
    <t>REQUESTED BY SCDPS TO BE USED BY SCDPS LAW ENFORCEMENT OFFICERS ASSIGNED TO TACTICAL TEAMS AS A CUTTING KNIFE.</t>
  </si>
  <si>
    <t>2YTKTF52068800</t>
  </si>
  <si>
    <t xml:space="preserve">
Sales Order #: 2269858196
RTD Screening Code: DOD
Reason for Rejection: Y9</t>
  </si>
  <si>
    <t>DEPUTIES WILL USE THIS ON THE HMMVEES AND OTHER LAW ENFORCEMENT VEHICLES AND EQUIPMENT TO MAKE REPAIRS AND DO MAINTENANCE IN THE FIELD TO KEEP EVERYTHING IN PROPER WORKING ORDER WHICH WILL KEEP THE PUBLIC AND DEPUTIES SAFE.</t>
  </si>
  <si>
    <t>2YTGMZ52138814</t>
  </si>
  <si>
    <t xml:space="preserve">
Sales Order #: 2269858204
RTD Screening Code: DOD
Reason for Rejection: Y9</t>
  </si>
  <si>
    <t>THESE DEVICES WILL BE USED BY THE ADVANCED TRAINING UNIT TO TRAIN BUILDING SEARCHES, TACTICAL RESPONSES, AND OTHER SCENARIOS REQUIRING THE USE OF LONG GUNS. THIS WILL IMPROVE SAFE HANDLING AND OPERATION OF THE REAL DEVICES IN THE FIELD, IMPROVING PUBLIC SAFETY</t>
  </si>
  <si>
    <t>2YTF7N52068827</t>
  </si>
  <si>
    <t xml:space="preserve">
Sales Order #: 2270173765
RTD Screening Code: DOD
Reason for Rejection: Y9</t>
  </si>
  <si>
    <t>ISSUED TO OFFICERS TO STORE EQUIPMENT AND GEAR WITHIN THEIR PATROL VEHICLE. THESE OFFICERS ARE ASSIGNED TO OUR DEPARTMENT'S SWAT TEAM AND THE BAG WILL STORE SWAT EQUIPMENT. BAGS ARE NEEDED FOR NEW SWAT TEAM MEMBERS.
AGENCY IS AWARE OF CONDITION CODE.</t>
  </si>
  <si>
    <t>2YTFXU52138777</t>
  </si>
  <si>
    <t>THESE MX-1 THERMAL VIEWERS WILL BE ISSUED FOR USE AS FBI SURVEILLANCE ASSETS PROVIDING 24 HR OBSERVATION CAPABILITY. THE CONDITION OF THESE OPTICS HAVE BEEN DETERMINED WITH THE SITE.</t>
  </si>
  <si>
    <t>2YTMSD52138851</t>
  </si>
  <si>
    <t xml:space="preserve">
Sales Order #: 2272251558
RTD Screening Code: DOD
Reason for Rejection: Y9</t>
  </si>
  <si>
    <t>BUTLER COUNTY SHERIFF'S OFFICE WILL PLACE THIS EQUIPMENT IN THE DEPARTMENTAL GYM FOR DEPUTIES TO WORK OUT.</t>
  </si>
  <si>
    <t>2YTBQJ52138839</t>
  </si>
  <si>
    <t xml:space="preserve">
Sales Order #: 2269644468
RTD Screening Code: DOD
Reason for Rejection: Y9</t>
  </si>
  <si>
    <t>RESCUE KNIVES WILL BE ASSIGNED TO OFFICERS TO ENHANCE PUBLIC SAFETY CAPABILITIES.</t>
  </si>
  <si>
    <t>2YTBJQ52068807</t>
  </si>
  <si>
    <t xml:space="preserve">
Sales Order #: 2269808049
RTD Screening Code: DOD
Reason for Rejection: Y9</t>
  </si>
  <si>
    <t>THE YUMA POLICE DEPARTMENT REQUESTS THIS ITEM TO BE USED IN OUR TRAINING UNIT FOR THE CONSTRUCTION AND REPAIR OF VARIOUS TRAINING MATERIALS INCLUDING, FIREARMS TARGET FRAMES, BREACHING DOOR EQUIPMENT, AND OTHER REPAIRS.  THE ABILITY TO CONSTRUCT AND REPAIR EQUIPMENT ON SITE WITHOUT HAVING TO MOVE IT ASSISTS IN THE ABILITY TO CONDUCT TRAINING IN AN EFFECTIVE MANNER.</t>
  </si>
  <si>
    <t>2YTN1M52138888</t>
  </si>
  <si>
    <t>TO BE USED TO STORE EVIDENCE FOR TRANSPORT TO COURT AS WELL AS STORAGE OF TRAINING AIDS TO BE TRANSPORTED TO AND FROM CLASS</t>
  </si>
  <si>
    <t>2YTLK552068882</t>
  </si>
  <si>
    <t xml:space="preserve">
Sales Order #: 2272340660
RTD Screening Code: DOD
Reason for Rejection: Y9</t>
  </si>
  <si>
    <t>THE NORTH CATASAUQUA POLICE DEPARTMENT WILL UTILIZE THIS EQUIPMENT TO ENHANCE SUSPECT APPREHENSION CAPABILITIES AND SUPPORT BOTH CRIMINAL INVESTIGATIONS AND NIGHTTIME OPERATIONS.</t>
  </si>
  <si>
    <t>2YT1N952138887</t>
  </si>
  <si>
    <t>NORTH CATASAUGUA POLICE DEPARTMENT (2YT1N9)</t>
  </si>
  <si>
    <t xml:space="preserve">
Sales Order #: 2269858197
RTD Screening Code: DOD
Reason for Rejection: Y9</t>
  </si>
  <si>
    <t>THESE THERMAL VIEWERS WILL ONLY BE USED BY OFFICERS OF  THE CLEVELAND POLICE DEPARTMENT. THERMAL VIEWERS CAN BE USED TO QUICKLY LOCATE MISSING CHILDREN AND ELDERLY PEOPLE IN WOODED AREAS, ESPECIALLY IN EXTREMELY COLD WEATHER.</t>
  </si>
  <si>
    <t>2YTPQ652138874</t>
  </si>
  <si>
    <t>CLEVELAND PD (2YTPQ6)</t>
  </si>
  <si>
    <t xml:space="preserve">
Sales Order #: 2270085888
RTD Screening Code: DOD
Reason for Rejection: Y9</t>
  </si>
  <si>
    <t>LIGHTS WILL BE MOUNTED IN DEPARTMENT VEHICLES FOR USE BY LAW ENVIRONMENTS OFFICERS OF THE SHERIFF'S OFFICE.</t>
  </si>
  <si>
    <t>2YT03F52068960</t>
  </si>
  <si>
    <t xml:space="preserve">
Sales Order #: 2270687245
RTD Screening Code: DOD
Reason for Rejection: Y9</t>
  </si>
  <si>
    <t>CASES WILL BE USED BY LAW ENFORCEMENT OFFICERS OF THE SHERIFF'S OFFICE TO STORE ISSUED EQUIPMENT IN DEPARTMENT VEHICLES.</t>
  </si>
  <si>
    <t>2YT03F52068958</t>
  </si>
  <si>
    <t>2YT0E752139017</t>
  </si>
  <si>
    <t>THE YUMA POLICE DEPARTMENT IS REQUESTING THESE ITEMS TO BE INSTALLED IN STORAGE CONTAINERS AND SHEDS AT OUR TRAINING FACILITY TO PROVIDE ILLUMINATION.  THE ABILITY TO SEE MATERIALS AND SUPPLIES INSIDE THE CONTAINERS WITHOUT THE USE OF A HANDHELD FLASHLIGHT WILL ALLOW US TO WORK MORE EFFICIENTLY.</t>
  </si>
  <si>
    <t>2YTN1M52069131</t>
  </si>
  <si>
    <t>FOR USE BY THIS LEA ONLY. THIS ITEM WILL BE USED TO HELP IDENTIFY MISSING PERSONS IN NIGHTTIME SEARCH AND RESCUE OPERATIONS.</t>
  </si>
  <si>
    <t>2YTLE252139147</t>
  </si>
  <si>
    <t>THE OSAGE COUNTY SHERIFF'S OFFICE WILL USE THESE FLAT MONITORS TO EDUCATE THE PUBLIC IN OUR LOBBY AND OFFICE ON MULTIPLE CRIMINAL AND CIVIL ISSUES. WOULD BE A GREAT HELP.</t>
  </si>
  <si>
    <t>2YT16P52139137</t>
  </si>
  <si>
    <t xml:space="preserve">
Sales Order #: 2272657610
RTD Screening Code: DOD
Reason for Rejection: Y9</t>
  </si>
  <si>
    <t>THESE UNITS WOULD BE ISSUED TO ROAD PATROL FOR USE DURING SUSPECT TRACKING AND APPREHENSION INCIDENTS, AS WELL AS FOR SEARCH AND RESCUE OPERATIONS, PROVIDING OCEANA COUNTY SHERIFF'S OFFICERS VALUABLE TECHNOLOGY TO DO THEIR JOBS. CONDITION OF THESE UNITS WERE VERIFIED WITH DLA SAN JOAQUIN.</t>
  </si>
  <si>
    <t>2YT1XS52139091</t>
  </si>
  <si>
    <t xml:space="preserve">
Sales Order #: 2272671676
RTD Screening Code: DOD
Reason for Rejection: Y9</t>
  </si>
  <si>
    <t>FOR THIS LEA ONLY. THE NORTH BERGEN POLICE DEPARTMENT WOULD LIKE TO REQUEST THESE TABLETS FOR OUR PATROL DIVISION. THIS WILL ALLOW OFFICERS TO TAKE REPORTS FROM REPORTING PARTIES IN THE FIELD AND TAKE PHOTOS IF NEEDED. THANK YOU FOR YOUR CONSIDERATION.</t>
  </si>
  <si>
    <t>2YT1NW52139108</t>
  </si>
  <si>
    <t>NORTH BERGEN POLICE DEPT (2YT1NW)</t>
  </si>
  <si>
    <t xml:space="preserve">
Sales Order #: 2269633703
RTD Screening Code: DOD
Reason for Rejection: Y9</t>
  </si>
  <si>
    <t>TO BE USED BY THE NOKOMIS POLICE DEPARTMENT FOR PATROL OFFICERS TO ENHANCE OBSERVATION DURING BOTH DAY AND NIGHT SHIFTS.</t>
  </si>
  <si>
    <t>2YT1MW52139060</t>
  </si>
  <si>
    <t xml:space="preserve">
Sales Order #: 2269633685
RTD Screening Code: DOD
Reason for Rejection: Y9</t>
  </si>
  <si>
    <t>TO BE USED BY THE NOKOMIS POLICE DEPARTMENT FOR THE NIGHT SHIFT PATROL OFFICER TO ENHANCE OBSERVATION DURING PATROL ACTIVITIES.</t>
  </si>
  <si>
    <t>2YT1MW52069061</t>
  </si>
  <si>
    <t>THIS ITEM WILL BE USED DURING PATROL OF MINERAL COUNTY NEVADA, USED TO ASSIST WITH INDIVIDUALS IN NEED OF HELP WITHIN OUR COUNTY</t>
  </si>
  <si>
    <t>MODULAR SLEEPING BA</t>
  </si>
  <si>
    <t>2YTHS852069112</t>
  </si>
  <si>
    <t>MINERAL COUNTY SHERIFFS OFFICE (2YTHS8)</t>
  </si>
  <si>
    <t>THE ITEMS ARE REQUESTED FOR USE BY DEPUTIES AT THE MARLBORO COUNTY SHERIFF'S OFFICE.</t>
  </si>
  <si>
    <t>2YTHBS52139140</t>
  </si>
  <si>
    <t>MARLBORO CSO (2YTHBS)</t>
  </si>
  <si>
    <t>VEH WILL BE USED FOR LE MOB COMMAND FUNCTIONS, THERE ARE NO COMMAND VEHS IN THE AREA AND THIS AGENCY HAS ALL COMMO - IT EQUIP TO BE USED. VEH WILL ALSO BE UTILIZED IN LE OPS IN DIFFICULT TO ACCESS INCIDENTS DUE TO RUGD TERRAIN OR HIGH-WATER CONDITIONS.  AGENCY IS ALSO SITUATED IN THE AREA OF 2 HVT PWR GEN PLANTS CRITICAL TO THE PWR GRID IN 3 STATES.  AGENCY ALSO ASSIST OTHER LE'S IN THE AREA IN CRIT INCIDENTS.  THIS AGENCY ALSO HAS SPECIAL COLLABORATION WITH A NAT GUARD FOR MAINT CONCERNS</t>
  </si>
  <si>
    <t>2YT0E752069143</t>
  </si>
  <si>
    <t>FOR LAW ENFORCEMENT USE ONLY.  FOR USE BY ALVORD ISD POLICE OFFICERS TO ASSIST IN CLEAR AND CONCISE COMMUNICATIONS IN EMERGENCY SITUATIONS.  TO BE USED IN CONJUNCTION WITH CURRENT RADIO COMMUNICATIONS SYSTEM.</t>
  </si>
  <si>
    <t>2YTRWG52069135</t>
  </si>
  <si>
    <t>ALVORD ISD POLICE DEPT K-12 (2YTRWG)</t>
  </si>
  <si>
    <t>THIS AGENCY HAS TACTICALLY TRAINED PARAMEDICS TO PROVIDE IMMEDIATE LIFESAVING INTERVENTIONS SHOULD AN OFFICER BECOME A CASUALTY DURING LE OPERATIONS</t>
  </si>
  <si>
    <t>LARYNGOSCOPE SET</t>
  </si>
  <si>
    <t>2YT0E752079153</t>
  </si>
  <si>
    <t xml:space="preserve">
Sales Order #: 2265899787
RTD Screening Code: DOD
Reason for Rejection: YH</t>
  </si>
  <si>
    <t>FOR THIS LEA. THE NORTH BERGEN PD IS REQUESTING THIS VEHICLE FOR OUR TRAFFIC UNIT.  THIS WILL INCREASE OUR OFFICER AND COMMUNITY SAFETY.  THANK YOU FOR YOUR CONSIDERATION.</t>
  </si>
  <si>
    <t>2YT1NW51010524</t>
  </si>
  <si>
    <t xml:space="preserve">
Sales Order #: 2266997158
RTD Screening Code: DOD
Reason for Rejection: YH</t>
  </si>
  <si>
    <t>2YTPJJ51221761</t>
  </si>
  <si>
    <t xml:space="preserve">
Sales Order #: 2267260251
RTD Screening Code: DOD
Reason for Rejection: YH</t>
  </si>
  <si>
    <t>2YTPJJ51221759</t>
  </si>
  <si>
    <t xml:space="preserve">
Sales Order #: 2267260248
RTD Screening Code: DOD
Reason for Rejection: YH</t>
  </si>
  <si>
    <t>2YTPJJ51221757</t>
  </si>
  <si>
    <t>WE ARE BOAZ POLICE DEPT. WE DO NOT HAVE A MOBILE COMMAND. NO ABILITY DURING WEATHER OPS, OR UNDERCOVER OPS TO CREATE A LOCATION TO INCREASE OUR FOOTPRINT ACROSS OUR CITY. WE HAVE DRONE CAPABILITY. HOWEVER, WE DON'T HAVE AN OPS CENTER BEYOND OUR VEHICLES.  I'M INTERESTED IN THE SIZE AND TOWING OF THIS ITEM. THERE ARE NO PICTURES OR INFORMATION. BUT SOUNDS PROMISING FOR POLICE PURPOSES. THANK YOU FOR YOUR CONSIDERATION.</t>
  </si>
  <si>
    <t>COMMAND SYSTEM,TACTICAL</t>
  </si>
  <si>
    <t>2YTBCH52068327</t>
  </si>
  <si>
    <t xml:space="preserve">CCA CORE MISSION
</t>
  </si>
  <si>
    <t>2YTSZQ52068584</t>
  </si>
  <si>
    <t>DOJ/USMS CA LOS ANGELES (2YTSZQ)</t>
  </si>
  <si>
    <t>THESE MAGNIFIERS WILL BE INSTALLED ON FBI LONG WEAPONS ASSIGNED TO RURAL AREAS TO INCLUDE BIA RESERVATIONS. THESE WILL ALLOW FOR BETTER THREAT AWARENESS AT DISTANCE AND SAVE THE FBI IN CONSIDERABLE UPGRADE COSTS. SITE HAS BEEN CONTACTED REGARDING CONDITION OF THESE OPTICS.</t>
  </si>
  <si>
    <t>2YTMSD52068849</t>
  </si>
  <si>
    <t xml:space="preserve">I HAVE CONTACTED THE SITE AND CONFIRM AND ACCEPT THE CONDITION CODE OF THE ITEMS.  FEDERAL SCREENER FOR DIVISION WITH 200 LAW ENFORCEMENT AGENTS TO INCLUDE 19 SWAT OPERATORS.  THESE ALLOW LAW ENFORCEMENT A COMBINATION OF VISIBLE AND IR LASERS IN A SMALL PLATFORM.  SWAT BUDGET IS LIMITED AND ARE COST PROHIBITIVE TO PURCHASE, THERE IS NO PLAN FOR REPLACEMENTS.   THE ONES CURRENTLY BEING UTILIZED WERE ALSO OBTAINED THROUGH DRMO.
</t>
  </si>
  <si>
    <t>2YTQY152068589</t>
  </si>
  <si>
    <t>THE WEST SENECA POLICE DEPT WILL UTILIZE THIS DIP MACHINE TO ENHANCE OFFICER FITNESS AND PHYSICAL READINESS. MAINTAINING STRENGTH AND CONDITIONING IS CRITICAL FOR JOB PERFORMANCE, INJURY PREVENTION, AND OVERALL WELLNESS. THIS EQUIPMENT SUPPORTS IN-HOUSE TRAINING, IMPROVES ACCESS TO FITNESS RESOURCES FOR ALL PERSONNEL, AND CONTRIBUTES TO LONG TERM HEALTH AND OPERATIONAL EFFECTIVENESS WITHOUT ADDITIONAL COST TO THE DEPARTMENT.</t>
  </si>
  <si>
    <t>2YTNJC52209291</t>
  </si>
  <si>
    <t>PERSON COUNTY WILL UTILIZE THIS ITEM TO EQUIP THE SRT SNIPER RIFLES WITH THE CAPABILITIES TO BE ABLE TO RESPOND TO HOSTAGE RESCUE AND DEPLOY COUNTER SNIPERS AT NIGHT</t>
  </si>
  <si>
    <t>2YTJKM52209280</t>
  </si>
  <si>
    <t>2YTJKM52209279</t>
  </si>
  <si>
    <t xml:space="preserve">
Sales Order #: 2269457599
Reason for Rejection: Y8</t>
  </si>
  <si>
    <t>THESE TOURNIQUETS WILL BE PROVIDED TO OUR OFFICERS TO ALLOW THEM THE ABILITY TO TREAT BLEEDING WOUNDS TO THE EXTREMITIES OF CIVILIANS,FELLOW OFFICERS OR THEMSELVES. THE TOURNIQUETS ARE A TOOL THAT WILL PROVIDE OFFICERS A CHANCE TO SAVE LIVES.</t>
  </si>
  <si>
    <t>2YTHRJ51645976</t>
  </si>
  <si>
    <t xml:space="preserve">
Sales Order #: 2271113924
RTD Screening Code: DOD
Reason for Rejection: YF</t>
  </si>
  <si>
    <t>THE HOWELL COUNTY SHERIFF'S OFFICE IS A LAW ENFORCEMENT AGENCY. THE REQUESTED LOADER WOULD REPLACE A PREVIOUSLY ACQUIRED INOPERABLE LOADER. THIS LOADER WILL BE USED TO HAUL, MOVE AND LOAD DEBRIS FROM ROADWAYS FROM 2 RECENT NATURAL DISASTERS. IN MARCH, HOWELL COUNTY WAS IMPACTED BY A EF-3 TORNADO AND IN APRIL A SIGNIFICANT FLOODING EVENT. THIS LOADER WOULD ALSO BE UTILIZED IN DISASTER RESPONSE IN THE FUTURE AND AID IN ACCESSING BLOCKED ROADS, HOMES AND PERSONS IN NEED OF MEDICAL ATTENTION.</t>
  </si>
  <si>
    <t>2YTFKX51927604</t>
  </si>
  <si>
    <t>THIS TRUCK WILL BE USED TO TRANSPORT OUR CITY INMATE WORKERS TO OUR POLICE DEPARTMENT TO AND FROM THE JAIL. THIS TRUCK WILL ALSO AIDE OUR DEPARTMENT BY ALLOWING ALL WORKERS TO BE HAULED IN ONE VEHICLE WHILE WORKING WITH THE POLICE DEPARTMENT TO CLEAN UP OUR TOWN. AWAITING UNANSWERED QUESTIONS, BUT THE CITY WILL MAINTAIN ANY COSTS AND REPAIRS TO FIX THE VEHICLE IF NEEDED.</t>
  </si>
  <si>
    <t>2YTLRG52209208</t>
  </si>
  <si>
    <t>VEH WILL BE USED FOR MOBILE COMMAND AT LE INCIDENTS THAT REQ A PROLONGED LE PRESENCE.  VEH WILL ALSO BE USED TO PROVIDE RAPID COVER FOR THE EVAC OF DOWNED LEOS IN CONTACT AT ANY ACTIVE SHOOTER INCIDENT.  VEH WILL ALSO PROVIDE LE WITH A PLATFORM FROM WHICH TO REACH INCIDENTS IN RUGGED TERRAIN THAT OTHER MORE CONVENTIONAL VEHS CAN'T ACCESS. MOBILE COMMAND WILL BE DEPLOYED INVOLVING LE INCIDENTS OF BOTH NATURAL AND TACTICAL IN NATURE.  REQUIRED COMMO - IT GEAR IS ON HAND FOR VEH IMPLEMENTATION.</t>
  </si>
  <si>
    <t>2YT0E752209274</t>
  </si>
  <si>
    <t>LCD PROJECTORS ARE ESSENTIAL FOR LAW ENFORCEMENT TRAINING BY ENABLING LARGE-GROUP INSTRUCTION, SCENARIO-BASED LEARNING, AND POLICY BRIEFINGS. THEY ALLOW THE DISPLAY OF CRITICAL TRAINING VIDEOS, EMERGENCY RESPONSE PLANS, AND INTERACTIVE PRESENTATIONS FOR OFFICERS AND COMMUNITY OUTREACH. THIS ENHANCES COMMUNICATION, SITUATIONAL AWARENESS, AND OPERATIONAL READINESS IN BOTH ROUTINE TRAINING AND EMERGENCY PREPAREDNESS PROGRAMS.</t>
  </si>
  <si>
    <t>PROJECTOR,MULTIMEDIA</t>
  </si>
  <si>
    <t>2YTC8P52209227</t>
  </si>
  <si>
    <t>THIS ITEM IS TO BE USED BY THIS LAW ENFORCEMENT ONLY. THE PALISADES INTERSTATE PARKWAY POLICE DEPARTMENT IS A HIGHWAY AND PARKLAND PATROL DEPARTMENT, RESPONSIBLE FOR PATROLLING VAST AREAS OF HIGHWAY AS WELL AS REMOTE FORESTED WOODLAND. THIS VEHICLE WILL BE USED TO TRANSPORT OFFICERS TO CRITICAL INCIDENTS INCLUDING SEARCH AND RESCUE MISSIONS AS WELL AS PRE-PLANNED EVENTS.</t>
  </si>
  <si>
    <t>2YTP7D52139302</t>
  </si>
  <si>
    <t>PALISADES INTERSTATE PKWY PD (2YTP7D)</t>
  </si>
  <si>
    <t>I HAVE CONTACTED SITE AND CONFIRMED CONDITION OF THE SIGHTS FOR USE IN THE LRFO</t>
  </si>
  <si>
    <t>SIGHT,HOLOGRAPHIC</t>
  </si>
  <si>
    <t>2YTMRY52209297</t>
  </si>
  <si>
    <t>FOR USE IN CONDUCTING SEARCH AND LAW ENFORCEMENT ACTIVITIES</t>
  </si>
  <si>
    <t>LIGHT,MARKER,DISTRE</t>
  </si>
  <si>
    <t>2YTMVW52209392</t>
  </si>
  <si>
    <t>DOJ/USMS EAST ST LOUIS (2YTMVW)</t>
  </si>
  <si>
    <t xml:space="preserve">
Sales Order #: 2269717153
RTD Screening Code: DOD
Reason for Rejection: YH</t>
  </si>
  <si>
    <t xml:space="preserve">
THE HOWELL COUNTY SHERIFF'S OFFICE IS A LAW ENFORCEMENT AGENCY. HCSO WILL USE THIS TRUCK AS AN UNDERCOVER VEHICLE TO PERFORM SURVEILLANCE TASKS. THE WELL USED LOOK OF THIS TRUCK WILL BLEND INTO OUR AREA WELL AND SHOULD AID IN THE PURPOSE OF THE TASK.</t>
  </si>
  <si>
    <t>2YTFKX51716072</t>
  </si>
  <si>
    <t xml:space="preserve">
Sales Order #: 2269546296
RTD Screening Code: DOD
Reason for Rejection: YH</t>
  </si>
  <si>
    <t>THE HOWELL COUNTY SHERIFF'S OFFICE IS A LAW ENFORCEMENT AGENCY, HOWELL COUNTY CURRENTLY UNDER A FEDERAL DISASTER DECLARATION. HCSO IS IN NEED OF 1 TON TRUCK CAPABLE OF PULLING HEAVY TRAILERS AND WILL USE THE REQUESTED TRUCK TO TRANSPORT CRITICAL SUPPLIES AND DEBRIS REMOVAL EQUIPMENT. THIS TRUCK WOULD PULL TRAILERS SET UP WITH SUPPLIES AND EQUIPMENT TO RESPOND TO A MULTITUDE OF DISASTERS. THESE INCLUDE FLOOD AND STORM DEBRIS REMOVAL EQUIPMENT LIKE, SKIDSTEERS, UTILITY VEHICLES, AND GENERATORS.</t>
  </si>
  <si>
    <t>2YTFKX51716071</t>
  </si>
  <si>
    <t xml:space="preserve">
Sales Order #: 2258339696
RTD Screening Code: DOD
Reason for Rejection: YH</t>
  </si>
  <si>
    <t>THE HOWELL COUNTY SHERIFF'S OFFICE IS A LAW ENFORCEMENT AGENCY. HCSO WILL REPURPOSE THIS TRUCK FOR OUR SWIFT WATER RESPONSE TEAM.</t>
  </si>
  <si>
    <t>2YTFKX51716273</t>
  </si>
  <si>
    <t xml:space="preserve">
Sales Order #: 2270890529
RTD Screening Code: DOD
Reason for Rejection: YH</t>
  </si>
  <si>
    <t>REQUESTING AGENCY HAS CONFIRMED WITH THE DLA DS LOCATION REGARDING THE LISTED ITEM CONDITION AND IS SATISFIED THAT THE ITEM REQUESTED IS OF OPERATIONAL AND OR SERVICEABLE CONDITION. THERMALS WILL BE UTILIZED BY SWAT PERSONNEL DURING PUBLIC SAFETY MISSIONS SUCH AS HIGH-RISK EVENTS AND SEARCH AND RESCUE INCIDENTS AND WILL ENHANCE SITUATIONAL AWARENESS IN THE DARK ASSISTING IN SURVEILLANCE AND SUBJECT IDENTIFICATION WHICH WILL ULTIMATELY INCREASE OFFICER SAFETY AND EFFICIENCY.</t>
  </si>
  <si>
    <t>2YTPUC51998407</t>
  </si>
  <si>
    <t xml:space="preserve">
Sales Order #: 2271895448
RTD Screening Code: DOD
Reason for Rejection: Y9</t>
  </si>
  <si>
    <t>TO ENHANCE THE AGENCY, LAKE COUNTY SHERIFF'S OFFICE, IN ITS LAW ENFORCEMENT RESPONSE TO ASSIST THE LOCAL COMMUNITY DURING TIMES OF CRISIS IN PARTICULAR AUTO CRASHES TO EXTRICATE VICTIMS.</t>
  </si>
  <si>
    <t>2YTGE452068558</t>
  </si>
  <si>
    <t xml:space="preserve">
Sales Order #: 2269388279
RTD Screening Code: DOD
Reason for Rejection: Y9</t>
  </si>
  <si>
    <t>THESE ITEMS WOULD BE USED BY THE ORANGE COUNTY SHERIFF'S DEPARTMENT. THESE TOOLS COULD BE USED AND ASSIGNED TO OUR BOMB SQUAD DEPUTIES AS THEY ARE ALWAYS IN NEED OF HAND TOOLS FOR USE IN THERE DAY TO DAY OPERATIONS AND TRAINING. OUR SPECIAL INVESTIGATORS ARE ALSO LOOKING FOR TOOLS TO HELP HANDLE, MAINTAIN AND OPERATE THEIR SURVEILLANCE EQUIPMENT, DRONES, AND OTHER INVESTIGATIVE EQUIPMENT.</t>
  </si>
  <si>
    <t>2YT14Z52138763</t>
  </si>
  <si>
    <t xml:space="preserve">
Sales Order #: 2272393951
RTD Screening Code: DOD
Reason for Rejection: Y9</t>
  </si>
  <si>
    <t>FOR LAW ENFORCEMENT USE ONLY.  FOR USE BY ALVORD ISD POLICE OFFICER TO SHIELD FROM COLD WEATHER WHILE PERFORMING LAW ENFORCEMENT DUTIES.</t>
  </si>
  <si>
    <t>2YTRWG52139136</t>
  </si>
  <si>
    <t xml:space="preserve">
Sales Order #: 2272740139
RTD Screening Code: DOD
Reason for Rejection: Y9</t>
  </si>
  <si>
    <t>PERSON COUNTY WILL UTILIZE THIS EQUIPMENT TO OUTFIT THE SRT TEAM FOR PRACTICE ON THE RANGE AND IN THE FIELD. THE EYEWEAR WILL ASSIST IN MULTIPLE WAYS</t>
  </si>
  <si>
    <t>2YTJKM52209193</t>
  </si>
  <si>
    <t>THESE ERASERS WILL BE USED BY OUR TRAINING UNIT WHILE CONDUCTING POLICE TRAINING TO BETTER ORGANIZE POLICE TRAINING INFORMATION. THIS WILL LEAD TO FASTER AND BETTER TRAINED POLICE OFFICERS WHEN THEY HIT PATROL, INCREASING PUBLIC SAFETY</t>
  </si>
  <si>
    <t>ERASER,WHITEBOARD</t>
  </si>
  <si>
    <t>2YTF7N52209285</t>
  </si>
  <si>
    <t>THIS WILL BE USED ON THE FIREARMS RANGE TO PROTECT THE OFFICERS EYE DURING TRAINING.  AS WELL AS DURING EVIDENCE RECOVERY  
 TRAINING</t>
  </si>
  <si>
    <t>2YTLK552209418</t>
  </si>
  <si>
    <t>THE SHERIDAN POLICE DEPARTMENT IS REQUESTING THE SAFETY GOGGLES TO USE FOR MOBILE INCIDENT COMMAND, DRONE OPERATIONS, AND TRAINING TO ASSIST WITH ACTIVE SHOOTER, COUNTER DRUG, AND COUNTER TERRORISM OPERATIONS.  THE EQUIPMENT WILL BE USED FOR LAW ENFORCEMENT PURPOSES ONLY.</t>
  </si>
  <si>
    <t>2YTK1452209391</t>
  </si>
  <si>
    <t xml:space="preserve">
Sales Order #: 2272850511
RTD Screening Code: DOD
Reason for Rejection: BQ</t>
  </si>
  <si>
    <t>THIS ASSET WOULD BENEFIT THIS AGENCY BY ALLOWING US TO PLACE A PORTABLE STORAGE UNIT ON TOP TO TRANSFER PIECES OF EQUIPEMENT AND INVENTORY TO AND FROM THE RANGE OR FROM OUR OLD BUILDING TO OUR NEW BUILDING WE COULD ALSO USE THIS ASSET TO PICKUP OTHER ITEMS AND EQUIPMENT WE RECEIVE FROM LESO . WE WOULD REPAIR IF NEEDED</t>
  </si>
  <si>
    <t>2YTS0852209481</t>
  </si>
  <si>
    <t>GAINESBORO POLICE WOULD LIKE TO HAVE THESE TO HELP OUT FOR THE NIGHT SHIFT AND WHEN HAVING TO CLEAR DARK PLACES THIS WILL BE USED BY LAW ENFORCEMENT ONLY</t>
  </si>
  <si>
    <t>2YTEF652209453</t>
  </si>
  <si>
    <t>2YTDGB52139448</t>
  </si>
  <si>
    <t>2YTDGB52139432</t>
  </si>
  <si>
    <t xml:space="preserve">
Sales Order #: 2266081840
RTD Screening Code: DOD
Reason for Rejection: Y9</t>
  </si>
  <si>
    <t>REQUESTED BY COLLEGE OF CHARLESTON POLICE FOR USE BY TRAINED TCCC POLICE RESPONSE TO ACTIVE AGGRESSOR AND MASS CASUALTY INCIDENTS IN AND AROUND OUR PATROL AREA TO SAVE LIVES.</t>
  </si>
  <si>
    <t>2YTB7X51080872</t>
  </si>
  <si>
    <t>COLLEGE OF CHARLESTON DPS HI_ED (2YTB7X)</t>
  </si>
  <si>
    <t xml:space="preserve">
Sales Order #: 2262233100
RTD Screening Code: DOD
Reason for Rejection: YG</t>
  </si>
  <si>
    <t>IF ACQUIRED, THIS UNIT WOULD BE UTILIZED BY THE MASON COUNTY SHERIFF'S OFFICE TACTICAL TEAM FOR USE AS BALLISTIC PROTECTION DURING CRITICAL INCIDENTS SUCH AS BARRICADED SUSPECTS AND HOSTAGE RESCUE. THIS UNIT WOULD BE VITAL FOR PROTECTING OFFICERS FROM INCOMING FIRE, THUS SAVING LIVES.</t>
  </si>
  <si>
    <t>2YTHD951786778</t>
  </si>
  <si>
    <t xml:space="preserve">
Sales Order #: 2270607322
RTD Screening Code: DOD
Reason for Rejection: Y9</t>
  </si>
  <si>
    <t>THE SUMTER COUNTY SHERIFF REQUESTS THIS ITEM TO BE USED BY SWORN LAW ENFORCEMENT IN THE AVIATION UNIT FOR MISSIONS SUCH AS SEARCH AND RESCUE.</t>
  </si>
  <si>
    <t>DRIVESHAFT ASSY,TAI</t>
  </si>
  <si>
    <t>2YTLLK51717005</t>
  </si>
  <si>
    <t xml:space="preserve">
Sales Order #: 2271290456
RTD Screening Code: DOD
Reason for Rejection: YH</t>
  </si>
  <si>
    <t>2YTGMZ51998014</t>
  </si>
  <si>
    <t xml:space="preserve">
Sales Order #: 2271976727
RTD Screening Code: ACCM
Reason for Rejection: YG</t>
  </si>
  <si>
    <t>2YTFK75197KM29</t>
  </si>
  <si>
    <t xml:space="preserve">
Sales Order #: 2271976723
RTD Screening Code: ACCM
Reason for Rejection: YG</t>
  </si>
  <si>
    <t>2YTFK75197KM28</t>
  </si>
  <si>
    <t xml:space="preserve">
Sales Order #: 2271976734
RTD Screening Code: ACCM
Reason for Rejection: YG</t>
  </si>
  <si>
    <t>2YTFK75197KM27</t>
  </si>
  <si>
    <t xml:space="preserve">
Sales Order #: 2271976725
RTD Screening Code: DOD
Reason for Rejection: YG</t>
  </si>
  <si>
    <t>2YTFK75197KM26</t>
  </si>
  <si>
    <t xml:space="preserve">
Sales Order #: 2271976735
RTD Screening Code: ACCM
Reason for Rejection: YG</t>
  </si>
  <si>
    <t>2YTFK75197KM25</t>
  </si>
  <si>
    <t xml:space="preserve">
Sales Order #: 2271976733
RTD Screening Code: ACCM
Reason for Rejection: YG</t>
  </si>
  <si>
    <t>2YTFK75197KM24</t>
  </si>
  <si>
    <t xml:space="preserve">
Sales Order #: 2271976724
RTD Screening Code: ACCM
Reason for Rejection: YG</t>
  </si>
  <si>
    <t>2YTFK75197KM23</t>
  </si>
  <si>
    <t xml:space="preserve">
Sales Order #: 2271976731
RTD Screening Code: DOD
Reason for Rejection: YG</t>
  </si>
  <si>
    <t>BDU KNEEPAD</t>
  </si>
  <si>
    <t>DSBDUKNEE</t>
  </si>
  <si>
    <t>2YTFK75197KM22</t>
  </si>
  <si>
    <t xml:space="preserve">
Sales Order #: 2271976728
RTD Screening Code: ACCM
Reason for Rejection: YG</t>
  </si>
  <si>
    <t>2YTFK75197KM21</t>
  </si>
  <si>
    <t xml:space="preserve">
Sales Order #: 2271789844
RTD Screening Code: DOD
Reason for Rejection: YG</t>
  </si>
  <si>
    <t>2YTFK75197KM17</t>
  </si>
  <si>
    <t xml:space="preserve">
Sales Order #: 2271789855
RTD Screening Code: ACCM
Reason for Rejection: YG</t>
  </si>
  <si>
    <t>2YTFK75197KM15</t>
  </si>
  <si>
    <t xml:space="preserve">
Sales Order #: 2271789834
RTD Screening Code: DOD
Reason for Rejection: YG</t>
  </si>
  <si>
    <t>2YTFK75197KM14</t>
  </si>
  <si>
    <t xml:space="preserve">
Sales Order #: 2271789843
RTD Screening Code: ACCM
Reason for Rejection: YG</t>
  </si>
  <si>
    <t>2YTFK75197KM13</t>
  </si>
  <si>
    <t xml:space="preserve">
Sales Order #: 2272251552
RTD Screening Code: DOD
Reason for Rejection: Y9</t>
  </si>
  <si>
    <t>2YTK0952138964</t>
  </si>
  <si>
    <t xml:space="preserve">
Sales Order #: 2270098150
RTD Screening Code: DOD
Reason for Rejection: Y9</t>
  </si>
  <si>
    <t>WE WOULD LIKE THE TOW STRAPS TO HELP MOVE ITEMS AROUND OUR TRAINING FACILITY. THE STRAPS ARE RATED OVER 20K AND SHOULD ALLOW US TO PICK UP MOST OF OUR SMALL GENERATORS AND EVEN TOW VEHICLES IN OUR IMPOUND LOT. THE STRAPS WILL HELP US BE BETTER PREPARED AND TRAINED FOR EMERGENCY SITUATIONS WITHOUT HAVING TO RELY ON A TOW COMPANY. THE STRAPS WILL BE USED SOLELY BY THE POLICE DEPARTMENT.</t>
  </si>
  <si>
    <t>SLING,ENDLESS</t>
  </si>
  <si>
    <t>2YTHQ052138990</t>
  </si>
  <si>
    <t xml:space="preserve">
Sales Order #: 2270171050
RTD Screening Code: DOD
Reason for Rejection: YH</t>
  </si>
  <si>
    <t>2YT0E752069020</t>
  </si>
  <si>
    <t xml:space="preserve">
Sales Order #: 2272340672
RTD Screening Code: DOD
Reason for Rejection: Y9</t>
  </si>
  <si>
    <t>THESE ASSETS WOULD ALLOW OUR OFFICERS TO PLACE THESE IN THEIR VESTS TO ASSIST IN WORKING ON PEOPLE THAT ARE HAVING MEDICAL ISSUES AS WELL AS RESCUES FROM VEHICLES BY ALLOWING THEM TO CUT SEATBELTS OR OTHER WEBBING CLOTHING ETC THAT IS HOLDING THE VICTIM IN THE VEHICLE</t>
  </si>
  <si>
    <t>2YTS0852209175</t>
  </si>
  <si>
    <t xml:space="preserve">
Sales Order #: 2272340705
RTD Screening Code: DOD
Reason for Rejection: Y9</t>
  </si>
  <si>
    <t>THIS ASSET WOULD BENEFIT OUR OFFICERS BY ALLOWING US TO UTILIZE THIS AS A COMPUTER SCREEN TO REVIEW BODY CAM VIDEO AND COMPLETE REPORTS . THIS ASSET WOULD ALLOW OFFICERS TO SEE THE OTHERWISE UNSEEN DETAILS IN THE VIDEOS MORE CLEARLY TO EFFECTIVELY AND ACCURATELY COMPLETE THEIR REPORTS.</t>
  </si>
  <si>
    <t>TV FLAT SCREEN</t>
  </si>
  <si>
    <t>DSTVFLTSC</t>
  </si>
  <si>
    <t>2YTS0852209174</t>
  </si>
  <si>
    <t xml:space="preserve">
Sales Order #: 2272340691
RTD Screening Code: DOD
Reason for Rejection: Y9</t>
  </si>
  <si>
    <t>THIS ASSET WOULD ASSIST MY OFFICERS BY ALLOWING US TO UTILIZE THIS IN OUR EVIDENCE ROOM TO SECURE DRUGS AND OTHER VALUABLE ITEMS THAT ARE REQUIRED TO BE UNDER EXTRA SAFEGUARDS.</t>
  </si>
  <si>
    <t>SAFE</t>
  </si>
  <si>
    <t>DSSAFE000</t>
  </si>
  <si>
    <t>2YTS0852209166</t>
  </si>
  <si>
    <t>THESE MARKERS WILL BE USED FOR POLICE TRAINING COURSES. MORE CLEAR AND DISTINGUISHED CATEGORIZATION OF TRAINING INFORMATION WILL LEAD TO BETTER TRAINED OFFICERS, WHICH INCREASES PUBLIC SAFETY</t>
  </si>
  <si>
    <t>AT</t>
  </si>
  <si>
    <t>MARKER ASSORTMENT,TUBE TYPE</t>
  </si>
  <si>
    <t>2YTF7N52209287</t>
  </si>
  <si>
    <t xml:space="preserve">
Sales Order #: 2272755813
RTD Screening Code: DOD
Reason for Rejection: Y9</t>
  </si>
  <si>
    <t>THESE CAMERAS WILL BE USED BY PATROL OFFICERS AND INVESTIGATORS TO DOCUMENT CRIME SCENES AND DRUG SALES.</t>
  </si>
  <si>
    <t>2YTHDF52209301</t>
  </si>
  <si>
    <t xml:space="preserve">
Sales Order #: 2272823723
RTD Screening Code: DOD
Reason for Rejection: Y9</t>
  </si>
  <si>
    <t>NEEDED BY LEA TO CONDUCT CRITICAL LAW ENFORCEMENT ACTION DURING ROUTS OF DARKNESS.</t>
  </si>
  <si>
    <t>2YTMPA52209315</t>
  </si>
  <si>
    <t xml:space="preserve">
Sales Order #: 2272823716
RTD Screening Code: DOD
Reason for Rejection: Y9</t>
  </si>
  <si>
    <t>NEEDED BY LEA FOR CLANDESTINE SURVEILLANCE</t>
  </si>
  <si>
    <t>2YTMPA52209306</t>
  </si>
  <si>
    <t xml:space="preserve">
Sales Order #: 2272814506
RTD Screening Code: DOD
Reason for Rejection: Y9</t>
  </si>
  <si>
    <t>THIS WILL BE USED ON THE FIREARMS RANGE TO PROTECT THE OFFICERS EYE DURING TRAINING.  AS WELL AS DURING EVIDENCE RECOVERY   TRAINING</t>
  </si>
  <si>
    <t>2YTLK552209416</t>
  </si>
  <si>
    <t xml:space="preserve">
Sales Order #: 2269739675
RTD Screening Code: DOD
Reason for Rejection: Y9</t>
  </si>
  <si>
    <t>THESE UNITS WOULD BE ISSUED TO DEPUTIES OF THE OCEANA COUNTY SHERIFF'S OFFICE FOR USE DURING PATROL AND DURING TACTICAL OPERATIONS. CONDITION OF THESE UNITS WAS VERIFIED WITH DLA NORFOLK</t>
  </si>
  <si>
    <t>2YT1XS52209409</t>
  </si>
  <si>
    <t xml:space="preserve">
Sales Order #: 2272340677
RTD Screening Code: DOD
Reason for Rejection: Y9</t>
  </si>
  <si>
    <t>TO BE USED IN LAW ENFORCEMENT OFFICES FOR TRAINING AND EDUCATION.</t>
  </si>
  <si>
    <t>2YTEZF52209344</t>
  </si>
  <si>
    <t xml:space="preserve">
Sales Order #: 2269590502
RTD Screening Code: DOD
Reason for Rejection: Y9</t>
  </si>
  <si>
    <t>THIS ASSET WOULD BENEFIT THIS AGENCY AND OUR OFFICERS BY ALLOWING US THE ABILITY TO PICK UP LARGE ITEMS OF EQUIPMENT FOR OUR AGENCY FROM LESO AS WELL AS GENERAL LARGE PURCHASES. THIS ASSET WOULD ALSO BENEFIT US BY ALLOWING US TO USE THIS TO MOVE OUR EQUIPMENT FROM OUR OLD BUILDING TO OUR NEW BUILDING. WE WOULD FIX THIS ASSET IF NEEDED</t>
  </si>
  <si>
    <t>2YTS0852209478</t>
  </si>
  <si>
    <t xml:space="preserve">
Sales Order #: 2269590507
RTD Screening Code: DOD
Reason for Rejection: Y9</t>
  </si>
  <si>
    <t>GAINESBORO POLICE WOULD LIKE THESE TO OUTFIT OUR SMALL ARMS TO MAKE IT SAFER FOR OUR OFFICERS IN ACTIVE SHOOTER AND HIGH RISK WARRANTS THIS WILL BE USED BY LAW ENFORCEMENT ONLY WE KNOW THEY HAVE CONDITION OF F</t>
  </si>
  <si>
    <t>2YTEF652209474</t>
  </si>
  <si>
    <t xml:space="preserve">
Sales Order #: 2272813341
RTD Screening Code: DOD
Reason for Rejection: Y9</t>
  </si>
  <si>
    <t>2YTEF652209473</t>
  </si>
  <si>
    <t xml:space="preserve">
Sales Order #: 2271113923
RTD Screening Code: GSA
Reason for Rejection: YH</t>
  </si>
  <si>
    <t>THE VISE WILL BE USED BY THE ARP POLICE DEPARTMENT FOR LAW ENFORCEMENT PURPOSES ONLY. ARP PD HAS AN OFFICER WITH HIS 2 YEAR DEGREE IN AUTOMOTIVE MECHANICS. THE OFFICERS PROVIDES ALL BASIC MAINTENANCE TO THE PD AND LESO AWARDED VEHICLES AND EQUIPMENT.</t>
  </si>
  <si>
    <t>VISE</t>
  </si>
  <si>
    <t>DSVISE000</t>
  </si>
  <si>
    <t>2YTANX51927491</t>
  </si>
  <si>
    <t xml:space="preserve">
Sales Order #: 2269563356
RTD Screening Code: DOD
Reason for Rejection: Y9</t>
  </si>
  <si>
    <t>2YTQYX52138730</t>
  </si>
  <si>
    <t xml:space="preserve">
Sales Order #: 2269563358
RTD Screening Code: DOD
Reason for Rejection: Y9</t>
  </si>
  <si>
    <t>2YTQYX52138729</t>
  </si>
  <si>
    <t xml:space="preserve">
Sales Order #: 2270171036
RTD Screening Code: DOD
Reason for Rejection: Y9</t>
  </si>
  <si>
    <t>2YTQYX52138726</t>
  </si>
  <si>
    <t>I HAVE CONTACTED THE SITE AND CONFIRM AND ACCEPT THE CONDITION CODE OF THE ITEMS.  FEDERAL SCREENER FOR DIVISION WITH 200 LAW ENFORCEMENT AGENTS TO INCLUDE 19 SWAT OPERATORS.  MOST OPERATORS ARE USING SINGLE TUBE NVGS THAT ARE OUT OF WARRANTY.  DUE TO A MAJORITY OF HIGH RISK OPERATIONS IN LOW LIGHT CONDITIONS IT IS CRITICAL TO HAVE BETTER EQUIPMENT FOR OFFICER SAFETY.  THERE HAS BEEN NO FUNDING FOR NIGHT VISION OPTICS NOR HAS THERE BEEN FOR YEARS.</t>
  </si>
  <si>
    <t>2YTQY152138795</t>
  </si>
  <si>
    <t>2YTQY152138792</t>
  </si>
  <si>
    <t>2YTQY152138790</t>
  </si>
  <si>
    <t>USE FOR SPOTTING SCOPE</t>
  </si>
  <si>
    <t>2YTMU152069028</t>
  </si>
  <si>
    <t xml:space="preserve">
Sales Order #: 2272755815
RTD Screening Code: DOD
Reason for Rejection: Y9</t>
  </si>
  <si>
    <t>THIS ASSET WOULD BENEFIT OUR AGENCY BY ALLOWING US TO UTILIZE THIS AS EITHER A PARTS VEHICLE OR USE OUR CURRENT MULE THAT HAS A BLOWN MOTOR FOR PARTS TO MAKE THIS WORK. THIS ASSET WOULD ASSIST OFFICERS IN PULLING DOWNED TREES FROM PATHS AND ROADWAYS AFTER STORMS AS WELL AS SEARCHES AND RECOVERY OF VICTIMS DURING STORMS OR NATURAL DISASTER EVENTS.</t>
  </si>
  <si>
    <t>2YTS0852209192</t>
  </si>
  <si>
    <t xml:space="preserve">
Sales Order #: 2272755825
RTD Screening Code: DOD
Reason for Rejection: Y9</t>
  </si>
  <si>
    <t>2YTHDF52209300</t>
  </si>
  <si>
    <t xml:space="preserve">
Sales Order #: 2248144708
RTD Screening Code: DOD
Reason for Rejection: Y9</t>
  </si>
  <si>
    <t>FOR USE BY LEA TO DOCUMENT CRIME SCENE AND CONDUCT SURVEILLANCE.</t>
  </si>
  <si>
    <t>2YTMPA52209308</t>
  </si>
  <si>
    <t xml:space="preserve">
Sales Order #: 2269959207
RTD Screening Code: DOD
Reason for Rejection: Y9</t>
  </si>
  <si>
    <t>TO BE USED BY THIS LEA FIREARMS UNIT TO PROPERLY PLACE OPTICS ON DEPARTMENT ISSUED FIREARMS. ADDITIONALLY TO ADJUST OTHER DEPARTMENT WEAPONS.</t>
  </si>
  <si>
    <t>2YT1XT52139412</t>
  </si>
  <si>
    <t>OCEANPORT POLICE DEPT (2YT1XT)</t>
  </si>
  <si>
    <t xml:space="preserve">
Sales Order #: 2272393966
RTD Screening Code: DOD
Reason for Rejection: Y9</t>
  </si>
  <si>
    <t>THIS ITEM IS BEING REQUESTED FOR LAW ENFORCEMENT USE ONLY. POLICE OFFICERS WILL USE THESE TORQUE WRENCHES WHEN REPAIRING POLICE DEPARTMENT FIREARMS.</t>
  </si>
  <si>
    <t>2YTPXC52139387</t>
  </si>
  <si>
    <t xml:space="preserve">
Sales Order #: 2269739677
RTD Screening Code: DOD
Reason for Rejection: Y9</t>
  </si>
  <si>
    <t>TO BE USED BY DANVILLE POLICE TO PROTECT OFFICERS DURING FORCE ON FORCE OR SIMILAR TRAINING.</t>
  </si>
  <si>
    <t>2YTC4G52209395</t>
  </si>
  <si>
    <t xml:space="preserve">
Sales Order #: 2272850509
RTD Screening Code: DOD
Reason for Rejection: Y9</t>
  </si>
  <si>
    <t xml:space="preserve">REQUESTING AGENCY HAS CONFIRMED WITH THE DLA DS LOCATION REGARDING THE LISTED ITEM CONDITION AND IS SATISFIED THAT THE ITEM REQUESTED IS OF OPERATIONAL AND OR SERVICEABLE CONDITION. LIGHTS WILL BE UTILIZED FOR VARIOUS PUBLIC SAFETY FUNCTIONS BY AGENCY PERSONNEL WHICH WILL ENHANCE EFFECTIVENESS, INCREASE OFFICER SAFETY AND SITUATIONAL AWARENESS BY PROVIDING ADEQUATE ILLUMINATION FOR PURPOSES OF CRIME SUPPRESSION, EVIDENCE COLLECTION, SEARCH AND RESCUE, SCENE SECURITY AND OTHER TASKS.
</t>
  </si>
  <si>
    <t>2YTPUC52209455</t>
  </si>
  <si>
    <t xml:space="preserve">
Sales Order #: 2272813354
RTD Screening Code: DOD
Reason for Rejection: Y9</t>
  </si>
  <si>
    <t>REQUESTING AGENCY HAS CONFIRMED WITH THE DLA DS LOCATION REGARDING THE LISTED ITEM CONDITION AND IS SATISFIED THAT THE ITEM REQUESTED IS OF OPERATIONAL AND OR SERVICEABLE CONDITION. BELTS WILL BE USED BY AGENCY PERSONNEL DURING PUBLIC SAFETY EVENTS, SPECIFICALLY HIGH-RISK LAW ENFORCEMENT EVENTS IN WHICH VITAL EQUIPMENT MUST BE CARRIED AND DEPLOYED TO AFFECT MISSION SUCCESS. THE BELTS WILL ALSO AID IN ORGANIZATION AND STORAGE OF EQUIPMENT.</t>
  </si>
  <si>
    <t>BELT,SAFETY,INDUSTR</t>
  </si>
  <si>
    <t>2YTPUC52209449</t>
  </si>
  <si>
    <t>LEVEL PLAINS POLICE OFFICERS WILL USE FOR DOCUMENTING TIME WHEN THEY ARE DOING REPORTS AND OR WHEN PERFORMING DAILY DUTIES</t>
  </si>
  <si>
    <t>2YTRNR52209562</t>
  </si>
  <si>
    <t xml:space="preserve">
Sales Order #: 2268905834
RTD Screening Code: GSA
Reason for Rejection: YH</t>
  </si>
  <si>
    <t>THE HOWELL COUNTY SHERIFF'S OFFICE IS A LAW ENFORCEMENT AGENCY. HCSO WILL UTILIZE THESE CAMERAS FOR DOCUMENTING EMERGENCY RESPONSE. NATURAL DISASTERS, MISSING PERSONS MANHUNTS. CRIME SCENES AND OTHER EMERGENCY SITUATIONS AS THEY ARISE.</t>
  </si>
  <si>
    <t>CAMERA-RECORDING,VI</t>
  </si>
  <si>
    <t>2YTFKX51434982</t>
  </si>
  <si>
    <t xml:space="preserve">
Sales Order #: 2268905825
RTD Screening Code: GSA
Reason for Rejection: YH</t>
  </si>
  <si>
    <t>THE HOWELL COUNTY SHERIFF'S OFFICE IS A LAW ENFORCEMENT AGENCY. HCSO WILL UTILIZE THESE CAMERAS FOR DOCUMENTING EMERGENCY RESPONSES. NATURAL DISASTERS, MISSING PERSONS MANHUNTS. CRIME SCENES AND OTHER EMERGENCY SITUATIONS AS THEY ARISE.</t>
  </si>
  <si>
    <t>2YTFKX51434980</t>
  </si>
  <si>
    <t xml:space="preserve">
Sales Order #: 2263843695
RTD Screening Code: DOD
Reason for Rejection: YH</t>
  </si>
  <si>
    <t>CLAY COUNTY SHERIFF NEEDS FOR STORAGE AND SECURITY OF MISSION ESSENTIAL ITEMS DURING CRITICAL INCIDENTS</t>
  </si>
  <si>
    <t>2YTCGY51786858</t>
  </si>
  <si>
    <t xml:space="preserve">
Sales Order #: 2251744399
RTD Screening Code: DOD
Reason for Rejection: YH</t>
  </si>
  <si>
    <t>THE TEHAMA COUNTY DISTRICT ATTORNEY BUREAU OF INVESTIGATIONS WILL ISSUE EYEPIECE ASSEMBLY,OPTICAL INSTRUMENT TO INVESTIGATORS ASSIGNED TO THE SWAT SNIPER UNIT.</t>
  </si>
  <si>
    <t>EYEPIECE ASSEMBLY,OPTICAL INSTRUMENT</t>
  </si>
  <si>
    <t>2YTLQ852068582</t>
  </si>
  <si>
    <t xml:space="preserve">
Sales Order #: 2270685883
RTD Screening Code: DOD
Reason for Rejection: YH</t>
  </si>
  <si>
    <t>THE TEHAMA COUNTY DISTRICT ATTORNEY BUREAU OF INVESTIGATIONS WILL USE HAND TOOLS, NONEDGED, NONPOWERED FOR DEPARTMENT REPAIR AND VEHICLE REPAIR AND MAINTENANCE.</t>
  </si>
  <si>
    <t>2YTLQ852068579</t>
  </si>
  <si>
    <t xml:space="preserve">
Sales Order #: 2272340661
RTD Screening Code: DOD
Reason for Rejection: Y9</t>
  </si>
  <si>
    <t>OUR WARDENS WOULD USE THIS ITEM AS A MOBILE COMMAND UNIT FOR NATURAL DISASTERS AND OTHER LARGE EVENTS FOR OUR COMMUNITY AND TO ASSIST OUR POLICE DEPARTMENT.</t>
  </si>
  <si>
    <t>2YTRJW52278885</t>
  </si>
  <si>
    <t>LAC COURTE OREILLES CONSER DEPT (2YTRJW)</t>
  </si>
  <si>
    <t xml:space="preserve">
Sales Order #: 2272841481
RTD Screening Code: DOD
Reason for Rejection: Y9</t>
  </si>
  <si>
    <t>I HAVE CONTACTED SITE AND CONFIRMED CONDITION FOR USE IN THE LRFO FOR WEAPON MOUNTED ILLUMINATORS</t>
  </si>
  <si>
    <t>2YTMRY52209296</t>
  </si>
  <si>
    <t xml:space="preserve">
Sales Order #: 2272340683
RTD Screening Code: DOD
Reason for Rejection: Y9</t>
  </si>
  <si>
    <t>THESE UNITS WOULD BE ISSUED TO ROAD PATROL DEPUTIES WITH THE OCEANA COUNTY SHERIFF'S OFFICE TO UTILIZE ON THEIR PATROL RIFLES, GIVING OFFICERS FASTER SIGHT ACQUISITION AND BETTER ACCURACY IN THE EVENT OF A GUN FIGHT. THE CONDITION OF THESE UNITS WERE VERIFIED WITH DLA COLUMBUS.</t>
  </si>
  <si>
    <t>2YT1XS52139345</t>
  </si>
  <si>
    <t xml:space="preserve">
Sales Order #: 2272671894
RTD Screening Code: DOD
Reason for Rejection: Y9</t>
  </si>
  <si>
    <t>OUR AGENCY CONDUCTS NIGHT OPERATIONS, INCLUDING MANHUNTS AND SRT DEPLOYMENTS, IN RURAL TERRAIN WITH LIMITED LIGHTING. IR LASER DEVICES ARE CRITICAL FOR TARGET IDENTIFICATION AND TEAM COORDINATION UNDER NIGHT VISION. THEY ENHANCE ACCURACY, REDUCE RISK OF BLUE-ON-BLUE, AND INCREASE OPERATIONAL SAFETY. BUDGET CONSTRAINTS PREVENT US FROM EQUIPPING RIFLES WITH THIS ESSENTIAL CAPABILITY.  WE CURRENTLY UTILIZE PVS-14 DEVICES FROM NSW CRANE AND THESE LASERS WOULD SUPPLEMENT THESE.</t>
  </si>
  <si>
    <t>2YTFKS52209417</t>
  </si>
  <si>
    <t xml:space="preserve">
Sales Order #: 2272913422
RTD Screening Code: DOD
Reason for Rejection: Y9</t>
  </si>
  <si>
    <t>FED LEO USE</t>
  </si>
  <si>
    <t>2YTS0952209377</t>
  </si>
  <si>
    <t xml:space="preserve">
Sales Order #: 2272813379
RTD Screening Code: DOD
Reason for Rejection: Y9</t>
  </si>
  <si>
    <t>GAINESBORO POLICE CAN USE THESE FOR THE SAFETY OF OFFICERS AND WILL BE USED BY LAW ENFORCEMENT ONLY</t>
  </si>
  <si>
    <t>2YTEF652209472</t>
  </si>
  <si>
    <t xml:space="preserve">
Sales Order #: 2272813399
RTD Screening Code: DOD
Reason for Rejection: Y9</t>
  </si>
  <si>
    <t>2YTS0952209522</t>
  </si>
  <si>
    <t>THE JEFFERSON COUNTY SHERIFF'S OFFICE WOULD UTILIZE THESE ITEMS FOR SIMUNITION TRAINING FOR TRAINING TOPICS RELATED TO PUBLIC SAFETY. THESE ITEMS WOULD BE USED IN THE PATROL DEPUTIES DEPARTMENTAL ISSUED RIFLES.</t>
  </si>
  <si>
    <t>TRAINING DEVICE,FIR</t>
  </si>
  <si>
    <t>2YTFX952139619</t>
  </si>
  <si>
    <t xml:space="preserve">
Sales Order #: 2270685288
RTD Screening Code: DOD
Reason for Rejection: Y9</t>
  </si>
  <si>
    <t>FOR USE BY THIS AGENCY, ORANGE POLICE DEPARTMENT ONLY. THE OFFICERS WILL UTILIZE THE REQUESTED TRUCK TO SUPPORT RESPONSE OPERATIONS AND PERFORM ESSENTIAL FUNCTIONS AT CRITICAL SCENES, INCLUDING ACTIVE THREATS, NATURAL DISASTERS, AND EVACUATION. IT WILL ALSO ASSIST IN MANAGING ASSIGNMENTS THAT REQUIRE LONG-TERM DEPLOYMENT AND CRISIS NEGOTIATION. UNIT WILL BE A VITAL ASSET, ENHANCING OPERATIONAL READINESS, IMPROVING RESPONSE EFFICIENCY, AND STRENGTHENING PUBLIC SAFETY DURING EXTENDED INCIDENTS.</t>
  </si>
  <si>
    <t>2YT15D52138629</t>
  </si>
  <si>
    <t xml:space="preserve">
Sales Order #: 2251744387
RTD Screening Code: DOD
Reason for Rejection: Y9</t>
  </si>
  <si>
    <t>IF ACQUIRED, THIS UNIT WOULD BE UTILIZED BY THE MASON COUNTY SHERIFF'S OFFICE AS A TACTICAL COMMAND POST AND TO USE FOR OPERATIONAL PURPOSES. CONDITION WAS CONFIRMED OPERATIONAL BY DS LETTERKENNY.</t>
  </si>
  <si>
    <t>2YTHD952138642</t>
  </si>
  <si>
    <t xml:space="preserve">
Sales Order #: 2272251544
RTD Screening Code: DOD
Reason for Rejection: Y9</t>
  </si>
  <si>
    <t xml:space="preserve">THE DALE COUNTY SHERIFFS OFFICE IS REQUESTING THIS VEHICLE TO CONVERT TO A MOBILE COMMAND CENTER. OUR DEPUTIES WILL RESPOND TO DISASTERS, CRIME SCENES AND TACTICAL SATIATIONS. IT WILL BE DEPLOYED TO ANY SURROUNDING AGENCY UPON REQUEST.
</t>
  </si>
  <si>
    <t>2YTC2852138612</t>
  </si>
  <si>
    <t xml:space="preserve">
Sales Order #: 2269563359
RTD Screening Code: DOD
Reason for Rejection: Y9</t>
  </si>
  <si>
    <t>THE COLUMBUS POLICE DEPARTMENT WILL USE THIS TRUCK AS A COMMAND TRAILER TO USE DURING CRITICAL INCIDENTS AND NATURAL DISASTERS THAT REQUIRE EXTENDED PRESENCE.</t>
  </si>
  <si>
    <t>2YTCPL52138624</t>
  </si>
  <si>
    <t xml:space="preserve">
Sales Order #: 2272282709
RTD Screening Code: DOD
Reason for Rejection: Y9</t>
  </si>
  <si>
    <t>WASHINGTON COUNTY SHERIFF'S OFFICE IS A LAW ENFORCEMENT AGENCY IN THE STATE OF VIRGINIA. OUR AGENCY COULD USE THIS FORD PICK-UP FOR PATROLING AND PRISIONER TRANSPORTS. THIS TRUCK WILL BE USE BY LAW ENFORCEMENT PERSONNEL.</t>
  </si>
  <si>
    <t>2YTM9Q52138690</t>
  </si>
  <si>
    <t xml:space="preserve">
Sales Order #: 2270685896
RTD Screening Code: DOD
Reason for Rejection: Y9</t>
  </si>
  <si>
    <t>REQUESTED BY SCDPS TO BE USED BY SCDPS LAW ENFORCEMENT OFFICERS AS A MOBILE OFFICE DURING SPECIAL EVENTS AND INCLEMENT WEATHER SITUATIONS.</t>
  </si>
  <si>
    <t>2YTKTF52138691</t>
  </si>
  <si>
    <t xml:space="preserve">
Sales Order #: 2272268726
RTD Screening Code: DOD
Reason for Rejection: Y9</t>
  </si>
  <si>
    <t>THE SARDINIA POLICE DEPARTMENT IS REQUESTING RESOURCES TO ASSIST AND SUSTAIN OPERATIONS DURING CRITICAL SITUATIONS. WITH LIMITED RESOURCES AND NO SUPPLEMENTARY FUNDING, RECEIPT OF REQUESTED ITEMS WOULD REDUCE THE ADDITIONAL COST THAT SARDINIA POLICE DEPARTMENT WOULD OCCUR WITH PURCHASING RESOURCES THAT WILL SUPPORT AND CAN BE USED FOR MOBILE CRIME SCENE UNIT FOR OFFICERS AS A FIRST RESPONDER DURING CRITICAL SITUATIONS.</t>
  </si>
  <si>
    <t>2YTKSE52138715</t>
  </si>
  <si>
    <t xml:space="preserve">
Sales Order #: 2269563365
RTD Screening Code: DOD
Reason for Rejection: Y9</t>
  </si>
  <si>
    <t>RCSO NEEDS THIS EQUIPMENT TO UTILIZE AS A MOBILE COMMAND VEHICLE.  THE PROPERTY WOULD BE USED FOR LARGE SCALE EVENTS, LONG AND PROTRACTED INCIDENTS DURING SEARCH AND RESCUE, AND OTHER CRIMINAL INCIDENTS.</t>
  </si>
  <si>
    <t>2YTJ7852138651</t>
  </si>
  <si>
    <t xml:space="preserve">
Sales Order #: 2251744389
RTD Screening Code: DOD
Reason for Rejection: Y9</t>
  </si>
  <si>
    <t>FOR USE BY ON DUTY OSD OFFICERS TO TRANSPORT EQUIPMENT TO MAJOR INCIDENT SCENES, TECHNICAL RESCUE SCENES, OR SWAT SCENES. THIS IS INTENDED TO CONSOLIDATE APPROXIMATELY 3 RESPONSE TRAILERS INTO ONE RESPONSE VEHICLE WHICH WILL GREATLY IMPROVE RESPONSE TIMES. CURRENTLY THERE ARE MORE RESPONSE TRAILERS THAN THERE ARE CAPABLE VEHICLES TO TOW THEM.</t>
  </si>
  <si>
    <t>2YT1WK52138678</t>
  </si>
  <si>
    <t xml:space="preserve">
Sales Order #: 2269563357
RTD Screening Code: DOD
Reason for Rejection: Y9</t>
  </si>
  <si>
    <t>THIS UNIT WILL BE USED BY THE PARK RANGERS AS AN AUXILIARY MOBILE COMMAND CENTER DURING RESCUE AND EMERGENCY OPERATIONS.</t>
  </si>
  <si>
    <t>2YTPEQ52138660</t>
  </si>
  <si>
    <t xml:space="preserve">
Sales Order #: 2272268725
RTD Screening Code: DOD
Reason for Rejection: Y9</t>
  </si>
  <si>
    <t>THIS ITEM IS BEING REQUESTED FOR LAW ENFORCEMENT USE ONLY. POLICE OFFICERS WILL USE THIS BUCKET TRUCK WHEN REPAIRING POLICE DEPARTMENT TRAFFIC SIGNALS.</t>
  </si>
  <si>
    <t>2YTPXC52138675</t>
  </si>
  <si>
    <t xml:space="preserve">
Sales Order #: 2269836560
RTD Screening Code: DOD
Reason for Rejection: Y9</t>
  </si>
  <si>
    <t>WE ARE THE BOAZ POLICE DEPARTMENT. THE CHIEF HAS REQUESTED A PICKUP FOR GATHERING AND TRANSPORTING SUPPLIES. WE HAVE BEEN TASKED WITH BUILDING A MECHANICS GARAGE. WE NEED A LARGE HD PICK UP TRUCK TO PULL A TRAILER, TO EQUIPMENT, TOOLS, TOOL BOXES AND OTHER LARGE AND HEAVY ITEMS NEEDED FOR THE ASSEMBLY OF THIS PROJECT. AS LIKE ALL OUR VEHICLES, IT WILL HAVE A MULTI PURPOSE USE IN TRANSPORTING POLICE BARRICADES AND OTHER POLICE SERVICES THANK YOU FOR YOUR TIME</t>
  </si>
  <si>
    <t>2YTBCH52138650</t>
  </si>
  <si>
    <t xml:space="preserve">
Sales Order #: 2272268712
RTD Screening Code: DOD
Reason for Rejection: Y9</t>
  </si>
  <si>
    <t>2YTRJ552138654</t>
  </si>
  <si>
    <t xml:space="preserve">
Sales Order #: 2269858199
RTD Screening Code: DOD
Reason for Rejection: Y9</t>
  </si>
  <si>
    <t>2YTNPQ52138748</t>
  </si>
  <si>
    <t xml:space="preserve">
Sales Order #: 2269858198
RTD Screening Code: DOD
Reason for Rejection: Y9</t>
  </si>
  <si>
    <t>2YTNPQ52138745</t>
  </si>
  <si>
    <t xml:space="preserve">
Sales Order #: 2269858192
RTD Screening Code: DOD
Reason for Rejection: Y9</t>
  </si>
  <si>
    <t>2YT12V52138823</t>
  </si>
  <si>
    <t xml:space="preserve">
Sales Order #: 2270685285
RTD Screening Code: DOD
Reason for Rejection: Y9</t>
  </si>
  <si>
    <t>FOR THIS LEA ONLY. THE NORTH BERGEN PD WOULD LIKE TO REQUEST THIS VEHICLE FOR OUR DETECTIVE BUREAU. THIS WILL ALLOW US TO DEPLOY POLE CAMERAS FOR INVESTIGATIONS. THANK YOU FOR YOUR CONSIDERATION.</t>
  </si>
  <si>
    <t>2YT1NW52138742</t>
  </si>
  <si>
    <t xml:space="preserve">
Sales Order #: 2270173751
RTD Screening Code: DOD
Reason for Rejection: Y9</t>
  </si>
  <si>
    <t>TO BE USED BY OFFICERS WITH THE MAYSVILLE POLICE DEPARTMENT. BECAUSE WE HAVE TWO STORY BUILDINGS IN OUR JURISDICTION WHICH WE COULD USE THIS EQUIPMENT TO HELP WITH HIGH RESCUES AND RECOVERIES.  WE ALSO HAVE 40 AFFORDABLE LIVE COMPLEX'S COMING TO OUR JURISDICTION WHICH WILL ALSO BE 2 STORY.  THIS WOULD HELP OUR OFFICERS IN DO MAINTENACE TO BUILDINGS AND OTHER RELATED EQUIPMENT. OFFICER WILL ALSO USE AS A SPOTTER TOWER AT OUR SHOTTING RANGE, AND WE HAVE MANY MORE USES</t>
  </si>
  <si>
    <t>2YTHFN52138824</t>
  </si>
  <si>
    <t>MAYSVILLE PD (2YTHFN)</t>
  </si>
  <si>
    <t xml:space="preserve">
Sales Order #: 2272282716
RTD Screening Code: DOD
Reason for Rejection: Y9</t>
  </si>
  <si>
    <t>HICKMAN COUNTY SHERIFF'S OFFICE WOULD USE THIS UNIT AS A MASS CASUALTY UNIT AND A REHAB UNIT. THE SHERIFF'S OFFICE WOULD ACCEPT THE UNIT AS IS AND REPAIR WHAT WOULD BE NEED TO REPAIR IF REPAIRIBLE.</t>
  </si>
  <si>
    <t>2YTFC252138770</t>
  </si>
  <si>
    <t xml:space="preserve">
Sales Order #: 2272268715
RTD Screening Code: DOD
Reason for Rejection: Y9</t>
  </si>
  <si>
    <t>THE ERIN POLICE DEPARTMENT WOULD LIKE TO ACQUIRE THIS VEHICLE FOR USE AS A MOBILE OFFICE OR RESPITE FOR OFFICERS.</t>
  </si>
  <si>
    <t>2YTDT952138786</t>
  </si>
  <si>
    <t xml:space="preserve">
Sales Order #: 2272282718
RTD Screening Code: DOD
Reason for Rejection: Y9</t>
  </si>
  <si>
    <t>ITEM BE USED BY THE ERATH COUNTY SHERIFF OFFICE FOR LAW ENFORCEMENT USE ONLY. IT WILL REPLACE OUT CURRENT COMMAND TRAILER WE RECEIVED FROM THIS PROGRAM ABOUT 4 YEARS AGO. CURRENT TRAILER ROOF IS BAD AND ALMOST UNUSABLE. CURRENT TRAILER IS USED MULTIPLE TIMES A YEAR. IT WILL BE USED DURING NATURAL DISASTERS, SEARCH AND RESCUE, TERRORIST ATTACKS, PROTEST, AND LARGE EVENTS WHERE WE ARE RESPONSIBLE FOR 10S OF THOUSANDS OF PEOPLE. WILL ALSO BE USED TO ASSIST SURROUNDING AGENCIES WHEN NEEDED.</t>
  </si>
  <si>
    <t>2YTDTW52138755</t>
  </si>
  <si>
    <t xml:space="preserve">
Sales Order #: 2272123222
RTD Screening Code: DOD
Reason for Rejection: Y9</t>
  </si>
  <si>
    <t>2YTQY152138794</t>
  </si>
  <si>
    <t xml:space="preserve">
Sales Order #: 2272841485
RTD Screening Code: DOD
Reason for Rejection: Y9</t>
  </si>
  <si>
    <t>2YTQY152138793</t>
  </si>
  <si>
    <t xml:space="preserve">
Sales Order #: 2270087895
RTD Screening Code: DOD
Reason for Rejection: Y9</t>
  </si>
  <si>
    <t>THESE ITEMS ARE BEING REQUESTED BY THE CLARKE COUNTY SHERIFF'S OFFICE, TO BE USED BY LAW ENFORCEMENT OFFICERS FOR LAW ENFORCEMENT PURPOSES. THE REQUESTED POWER PLANT,ELECTRIC,TRAILER MOUNTED, WILL BE UTILIZED BY LAW ENFORCEMENT OFFICERS TO GENERATE ELECTRICTY DURING TRAINING EXERCISES AND AS A BACK UP POWER SUPPLY.</t>
  </si>
  <si>
    <t>2YTCFX52138821</t>
  </si>
  <si>
    <t>CLARKE COUNTY SHERIFF OFFICE (2YTCFX)</t>
  </si>
  <si>
    <t xml:space="preserve">
Sales Order #: 2272251531
RTD Screening Code: DOD
Reason for Rejection: Y9</t>
  </si>
  <si>
    <t>THE POLICE DEPARTMENT REQUESTS AMMO CANS FOR SAFE STORAGE AND TRANSPORTATION OF AMMUNITION TO AND FROM TRAINING SESSIONS, ENSURING SECURE HANDLING AND PREVENTING LOSS OR MISHANDLING. THIS ENHANCES OFFICER SAFETY BY MAINTAINING AMMO INTEGRITY DURING TRANSIT. THE CANS WILL BE USED EXCLUSIVELY BY OUR DEPARTMENT'S OFFICERS.</t>
  </si>
  <si>
    <t>2YTH3452138899</t>
  </si>
  <si>
    <t xml:space="preserve">
Sales Order #: 2269908544
RTD Screening Code: DOD
Reason for Rejection: Y9</t>
  </si>
  <si>
    <t>THE POLICE DEPARTMENT REQUESTS A MECHANICAL TOOLS KIT FOR ON-SITE VEHICLE AND EQUIPMENT REPAIRS DURING OPERATIONS, ENSURING QUICK RESPONSE TO BREAKDOWNS. THIS ENHANCES OFFICER SAFETY BY PREVENTING STRANDING IN HAZARDOUS AREAS. THE KIT WILL BE USED EXCLUSIVELY BY OUR DEPARTMENT'S OFFICERS.</t>
  </si>
  <si>
    <t>2YTH3452138895</t>
  </si>
  <si>
    <t xml:space="preserve">
Sales Order #: 2270002377
RTD Screening Code: DOD
Reason for Rejection: Y9</t>
  </si>
  <si>
    <t>BROWNWOOD POLICE SWAT HAS NIGHT VISION CAPABILITIES AND ACTIVELY SEEKS COST-EFFECTIVE EQUIPMENT SOLUTIONS. REUTILIZING STEINER DBAL-A2S THROUGH THE TEXAS LESO PROGRAM ALIGNS WITH OUR OPERATIONAL NEEDS AND SUPPORTS TACTICAL READINESS WHILE MAXIMIZING USE OF AVAILABLE GRANT-FUNDED ACCESSORIES.</t>
  </si>
  <si>
    <t>2YTBMB52138919</t>
  </si>
  <si>
    <t xml:space="preserve">
Sales Order #: 2272755812
RTD Screening Code: DOD
Reason for Rejection: Y9</t>
  </si>
  <si>
    <t>THIS WILL BE ISSUED TO THE SWAT TEAM FOR THEIR RIFLES.  THE WILL USE THIS IN CONJUNCTION TO THEIR NIGHT VISIONS FOR WHEN THEY HAVE TO SERVE DRUG WARRANTS AS WELL AS HOSTAGE SITUATION THAT REQUIRE A HIGH DEGREE OF ACCURACY FROM THEIR WEAPON.</t>
  </si>
  <si>
    <t>2YTLK552138979</t>
  </si>
  <si>
    <t xml:space="preserve">
Sales Order #: 2272340679
RTD Screening Code: DOD
Reason for Rejection: Y9</t>
  </si>
  <si>
    <t>WILL BE USED TO PICK UP 1033 ITEMS IN INCLEMENT WEATHER AS WELL AS SECURE STORAGE OF SAID ITEMS AWAITING TO BE ISSUED OUT.</t>
  </si>
  <si>
    <t>2YTLK552138975</t>
  </si>
  <si>
    <t xml:space="preserve">
Sales Order #: 2272487513
RTD Screening Code: DOD
Reason for Rejection: Y9</t>
  </si>
  <si>
    <t>THE PICKENS COUNTY SHERIFF'S OFFICE SPECIAL OPERATIONS, ALONG WITH THE SWAT TEAM, IS ACQUIRING THESE INTERNS TO ENHANCE THE SAFETY OF OUR DEPUTIES. THIS WILL ENABLE THEM TO POSITIVELY IDENTIFY LOCATIONS AND TARGETS, BUILDINGS, AND OTHER FEATURES WHILE USING NIGHT VISION, THEREBY REDUCING THE RISK OF VERBAL COMMUNICATION THAT COULD EXPOSE THEM TO POTENTIAL THREATS. I ACKNOWLEDGE AND ACCEPT THE CODE F.</t>
  </si>
  <si>
    <t>2YTJL952138938</t>
  </si>
  <si>
    <t xml:space="preserve">
Sales Order #: 2270098148
RTD Screening Code: DOD
Reason for Rejection: Y9</t>
  </si>
  <si>
    <t>PERSON COUNTY SHERIFF'S OFFICE WILL UTILIZE THE EQUIPMENT TO BE ABLE TO RESPOND TO CALL OUTS AND USE RIFLES ACCURATELY WITH THE USE OF NIGHT VISION FOR HOSTAGE RESCUES AND NIGHT TIME OPERATIONS</t>
  </si>
  <si>
    <t>2YTJKM52138941</t>
  </si>
  <si>
    <t xml:space="preserve">
Sales Order #: 2272304097
RTD Screening Code: DOD
Reason for Rejection: Y9</t>
  </si>
  <si>
    <t>THE OSAGE COUNTY SHERIFF'S OFFICE WILL USE THIS TRAILER TO STORE AND TRANSPORT TRAINING EQUIPMENT TO DIFFERENT TRAINING SITE WITHIN OUR REGION. THIS TRAINING IS INVALUABLE TO OFFICERS IN THE REGION TO APPREHEND CRIMINALS.</t>
  </si>
  <si>
    <t>2YT16P52138982</t>
  </si>
  <si>
    <t xml:space="preserve">
Sales Order #: 2269141402
RTD Screening Code: DOD
Reason for Rejection: Y9</t>
  </si>
  <si>
    <t>THE MOUNTAIN VIEW POLICE DEPARTMENT WILL USE THIS ITEM FOR EMERGENCY RESPONSE. ITEM WILL BE ISSUED TO EMERGENCY RESPONSE OFFICERS. ITEM CODE HAS BEEN CONFIRMED AND DEPARTMENT UNDERSTANDS ITEM COMES AS IS AND WILL MAKE ALL ARRANGEMENTS FOR PICKUP AND TRANSPORT.</t>
  </si>
  <si>
    <t>2YTH6Z52138997</t>
  </si>
  <si>
    <t>MOUNTAIN VIEW POLICE DEPT (2YTH6Z)</t>
  </si>
  <si>
    <t xml:space="preserve">
Sales Order #: 2272487561
RTD Screening Code: DOD
Reason for Rejection: Y9</t>
  </si>
  <si>
    <t>THE GRANITE SHOALS POLICE DEPARTMENT WILL USE THIS TRAILER FOR STORING, TRANSPORTING, AND OPERATING A LIDAR DRONE. LIDAR DRONES ARE VALUABLE TOOLS IN SEARCH AND RESCUE OPERATIONS DUE TO THEIR ABILITY TO CREATE DETAILED 3D MAPS, IDENTIFY POTENTIAL HAZARDS, AND LOCATE INDIVIDUALS IN CHALLENGING TERRAINS. PLEASE SEE ADDITIONAL JUSTIFICATION.</t>
  </si>
  <si>
    <t>2YTERJ52138988</t>
  </si>
  <si>
    <t>GRANITE SHOALS POLICE DEPT (2YTERJ)</t>
  </si>
  <si>
    <t xml:space="preserve">
Sales Order #: 2272123219
RTD Screening Code: DOD
Reason for Rejection: Y9</t>
  </si>
  <si>
    <t>THESE DBAL SYSTEMS WILL REPLACE BROKEN PEQ-15S CURRENTLY ON FBI LONG GUNS. THE IR AND VISIBLE LASER ARE CRITICAL IN ESCALATION OF FORCE DURING FBI OPERATIONS. SITE HAS BEEN CONTACTED REGARDING CONDITION. THIS REQUISITION WOULD PROVIDE CONSIDERABLE SAVINGS TO FBI.</t>
  </si>
  <si>
    <t>2YTMSD52138999</t>
  </si>
  <si>
    <t xml:space="preserve">
Sales Order #: 2273006231
RTD Screening Code: DOD
Reason for Rejection: Y9</t>
  </si>
  <si>
    <t>SRT DESIGNATED MARKSMAN PROGRAM. WEAPONS PLATFORM PROVIDED BY HQ SOG, OPTIC ILLUMINATOR, INTEGRATED NECESSARY FOR SURVEILLANCE AND OVERWATCH OF SRT PERSONNEL DURING HIGH-RISK ENFORCEMENT OPERATIONS. LEA HAS CONFIRMED SITE HAS BEEN CONTACTED AND ACCEPTED CONDITION OF PROPERTY</t>
  </si>
  <si>
    <t>2YTRTP52138972</t>
  </si>
  <si>
    <t xml:space="preserve">
Sales Order #: 2272304107
RTD Screening Code: DOD
Reason for Rejection: Y9</t>
  </si>
  <si>
    <t>THE ADAMS TWP PD WILL USE THESE IR VISIBLE LASERS DURING HIGH RISK POLICE OPERATIONS.  THESE ARE DIFFERENT THAN THE IR ILLUMINATORS WE CURRENTLY HAVE - NSN 5855015711258 - AS THESE ARE DESIGNED FOR A DIFFERENT PLATFORM VERSUS THE ONES WE CURRENTLY HAVE, AND WOULD BE USED ALONG SIDE THE CURRENT ONES.</t>
  </si>
  <si>
    <t>2YTRSU52138970</t>
  </si>
  <si>
    <t>NEEDING IR CAPABILITY FOR SWAT TEAM NIGHT VISION.</t>
  </si>
  <si>
    <t>2YTNS652139032</t>
  </si>
  <si>
    <t>WINFIELD POLICE DEPT (2YTNS6)</t>
  </si>
  <si>
    <t xml:space="preserve">
Sales Order #: 2272823711
RTD Screening Code: DOD
Reason for Rejection: Y9</t>
  </si>
  <si>
    <t>2YT0E752139018</t>
  </si>
  <si>
    <t xml:space="preserve">
Sales Order #: 2272671632
RTD Screening Code: DOD
Reason for Rejection: Y9</t>
  </si>
  <si>
    <t>THE TEHAMA COUNTY DISTRICT ATTORNEY BUREAU OF INVESTIGATIONS WILL ISSUE PARKA,EXTREME COLD TO INDIVIDUAL INVESTIGATORS AND SWAT OPERATORS FOR DUTY IN INCLEMENT WEATHER.</t>
  </si>
  <si>
    <t>2YTLQ852139124</t>
  </si>
  <si>
    <t xml:space="preserve">
Sales Order #: 2272671809
RTD Screening Code: DOD
Reason for Rejection: Y9</t>
  </si>
  <si>
    <t>2YTLQ852139106</t>
  </si>
  <si>
    <t xml:space="preserve">
Sales Order #: 2269633681
RTD Screening Code: DOD
Reason for Rejection: Y9</t>
  </si>
  <si>
    <t>THE FRANKLIN CSO NEEDS THE IR LASER EMITTERS TO ASSIST IN COUNTER NARCOTICS OPERATIONS. THEY WILL BE UTILIZED TO ASSIST IN LOW LIGHT SITUATIONS FOR TARGET IDENTIFICATION AS WELL AS IDENTIFYING FRIENDLY FORCES FOR SAFER LOW LIGHT OPERATIONS.</t>
  </si>
  <si>
    <t>2YTEAT52139110</t>
  </si>
  <si>
    <t>FRANKLIN CSO (2YTEAT)</t>
  </si>
  <si>
    <t xml:space="preserve">
Sales Order #: 2272393952
RTD Screening Code: DOD
Reason for Rejection: Y9</t>
  </si>
  <si>
    <t>2YTNPQ52209261</t>
  </si>
  <si>
    <t xml:space="preserve">
Sales Order #: 2272566495
RTD Screening Code: DOD
Reason for Rejection: Y9</t>
  </si>
  <si>
    <t>2YTANX52209213</t>
  </si>
  <si>
    <t xml:space="preserve">
Sales Order #: 2272707197
RTD Screening Code: DOD
Reason for Rejection: Y9</t>
  </si>
  <si>
    <t>WE ARE BOAZ POLICE AND WE ARE COMING TO LEJEUNE FOR AN ITEM. THIS IS A K9 CAMERA SYSTEM. WE CURRENTLY HAVE TWO K9'S FOR DRUG INTERDICTION AND OTHER PURPOSES. THEY ARE EXPENSIVE DOGS AND A VALUABLE RESOURCE TO OUR SERVICE AND COMMUNITY. A MOUNTABLE CAMERA WOULD ENHANCE MY OFFICERS ABILITY AND THE K9 EXPONENTIALLY. THIS WOULD BE A HUGE ASSET TO OUR POLICING. WE WOULD LIKE TO HAVE THIS ITEM ALSO WHEN WE COME TO PICK IT UP. THANK YOU FOR YOUR CONSIDERATION.</t>
  </si>
  <si>
    <t>2YTBCH52139288</t>
  </si>
  <si>
    <t>2YTJL952139564</t>
  </si>
  <si>
    <t xml:space="preserve">
Sales Order #: 2272340693
RTD Screening Code: DOD
Reason for Rejection: Y9</t>
  </si>
  <si>
    <t>THESE ASSETS WOULD BENEFIT OUR AGENCY AND OFFICERS BY ALLOWING US TO UTILIZE THESE AS A SAFE COOL, DRY, AREA FOR TRAINING DURING INCLEMENT WEATHER AS WELL AS ALLOW US TO USE FOR THE SAME REASON DURING EMERGENCIES SUCH AS NATURAL DISASTERS</t>
  </si>
  <si>
    <t>TENT, MGPTS, MEDIUM, GREEN</t>
  </si>
  <si>
    <t>2YTS0852209161</t>
  </si>
  <si>
    <t xml:space="preserve">
Sales Order #: 2272340697
RTD Screening Code: DOD
Reason for Rejection: Y9</t>
  </si>
  <si>
    <t>PROVIDE REAL TIME INFORMATION TO DEPUTIES CONDUCTING TRAFFIC STOPS IN AREAS IDENTIFIED AS DRUG RELATED. ENABLE ACCESS TO DATABASES FOR CHECKING INDIVIDUAL'S HISTORIES OF DRUG RELATED OFFENSES AND ANY ACTIVE WARRANTS. FACILITATE THE USE OF NARCOTICS SPECIFIC DATABASES BY DRUG ENFORCEMENT AGENTS TO ASSIST IN THE IDENTIFICATION OF CONTROLLED SUBSTANCES. ADDITIONALLY, ALLOWS AGENTS TO CAPTURE PHOTOGRAPHS AND DOCUMENT DRUG RELATED EVIDENCE DURING DRUG SEARCH WARRANTS.</t>
  </si>
  <si>
    <t>2YTC6652209271</t>
  </si>
  <si>
    <t>DECATUR COUNTY SHERIFF'S OFFICE (2YTC66)</t>
  </si>
  <si>
    <t>PSP WILL USE THESE FOR WOODED TERRAIN SEARCHES AND WARRANT SERVICES.</t>
  </si>
  <si>
    <t>2YTJA952279694</t>
  </si>
  <si>
    <t xml:space="preserve">
Sales Order #: 2269940316
RTD Screening Code: DOD
Reason for Rejection: YH</t>
  </si>
  <si>
    <t>THIS ITEM WILL BE ISSUED TO AN AGENT WHO DEPLOYS WITH FEMA AS PART OF OUR ESF 13 TEAM</t>
  </si>
  <si>
    <t>2YTSXU51716294</t>
  </si>
  <si>
    <t xml:space="preserve">
Sales Order #: 2270265314
RTD Screening Code: DOD
Reason for Rejection: YH</t>
  </si>
  <si>
    <t>DICKENSON COUNTY SHERIFF'S OFFICE IS A FULL-SERVICE LAW ENFORCEMENT AGENCY.  THIS TRAILER WILL BE USED BY SWORN OFFICERS TO TOW DEPARTMENT ATVS IN RESPONSE TO CALLS FOR SERVICE, INCLUDING DISASTER RESPONSE AND RECOVERY AND SEARCH AND RESCUE.</t>
  </si>
  <si>
    <t>2YTDCB51786723</t>
  </si>
  <si>
    <t xml:space="preserve">
Sales Order #: 2260556651
Reason for Rejection: YH</t>
  </si>
  <si>
    <t>THE RIVER BEND POLICE DEPARTMENT NEEDS THIS EQUIPMENT FOR DISASTER RELATED EMERGENCY RESPONSE. DURING HURRICANES THE TRENT RIVER IN OUR TOWN FLOODS AND THESE LIFE PRESERVERS WILL HELP OFFICERS GO OUT IN FLOOD WATERS TO RESCUE CITIZENS.</t>
  </si>
  <si>
    <t>2YTSZH51787053</t>
  </si>
  <si>
    <t>RIVER BEND PD (2YTSZH)</t>
  </si>
  <si>
    <t xml:space="preserve">
Sales Order #: 2270862207
RTD Screening Code: DOD
Reason for Rejection: YG</t>
  </si>
  <si>
    <t xml:space="preserve">
THE HOWELL COUNTY SHERIFF'S OFFICE IS A LAW ENFORCEMENT AGENCY. THE REQUESTED TRACTOR WOULD BE USED FOR ROUTINE PROPERTY MAINTENANCE AT THE HOWELL COUNTY SHERIFF OFFICE. TRACTOR WOULD ALSO BE USED DURING EMERGENCIES LIKE MAN MADE AND NATURAL DISASTERS, AND OTHER CRISES. THIS TRACTOR WOULD ALSO BE USED TO RECOVER STRANDED VEHICLES, CLEAR DEBRIS AND OTHER EMERGENT TASKS.</t>
  </si>
  <si>
    <t>2YTFKX51927467</t>
  </si>
  <si>
    <t xml:space="preserve">
Sales Order #: 2271031656
RTD Screening Code: DOD
Reason for Rejection: YG</t>
  </si>
  <si>
    <t>WE ARE THE BOAZ POLICE DEPARTMENT. WE ARE CURRENTLY CREATING A MECHANICS SHOP TO WORK ON OUR VEHICLES. WE NEED A VEHICLE OF THIS SIZE TO GATHER, TOW, AND TRANSPORT VERY LARGE ITEMS. IT WOULD BE USED TO GATHER DLA ITEMS AROUND THE COUNTRY. CURRENTLY, BOAZ PD HAS NOTHING TO PULL A TRAILER OF ANY LARGE SIZE TO GATHER EQUIPMENT FOR OUR SHOP. WE WOULD APPRECIATE YOUR CONSIDERATION FOR THIS VEHICLE. WE ARE A RATHER SMALL DEPARTMENT, AND THERE IS NO OTHER WAY WE COULD HAVE ONE. THANK YOU FOR YOUR TIME.</t>
  </si>
  <si>
    <t>2YTBCH51997990</t>
  </si>
  <si>
    <t xml:space="preserve">
Sales Order #: 2271213881
RTD Screening Code: DOD
Reason for Rejection: YD</t>
  </si>
  <si>
    <t>MCSO NEEDS THIS PIECE OF EQUIPMENT TO ASSIST WITH CRIME SCENE INVESTIGATIONS THAT OCCUR WITH THE UWHARRIE NATIONAL FOREST, WHICH IS LOCATED WITHIN OUR JURISDICTION AND WHERE POWER IS NEEDED TO POWER PORTABLE CRIME SCENE LIGHTS.</t>
  </si>
  <si>
    <t>2YTHYP51998103</t>
  </si>
  <si>
    <t xml:space="preserve">
Sales Order #: 2271680681
RTD Screening Code: DOD
Reason for Rejection: YG</t>
  </si>
  <si>
    <t>OFFICER CAN USE THE BAGS TO CARRY EQUIPMENT</t>
  </si>
  <si>
    <t>2YTFKH51998277</t>
  </si>
  <si>
    <t xml:space="preserve">
Sales Order #: 2269723991
RTD Screening Code: DOD
Reason for Rejection: YH</t>
  </si>
  <si>
    <t>THE MADISONVILLE POLICE DEPARTMENT IS REQUESTING TRUCK FOR USE BY OUR OFFICERS. OUR DEPARTMENT IS LOCATED IN A HIGH METH LAB RURAL MOUNTAINOUS AREA. THIS TRUCK WOULD BE USED TO STORE AND HAUL EQUIPMENT TO THESE RURAL AREAS TO PROCESS THESE TYPE OF SCENES PROPERLY. INFORMATION GATHERED FROM THE BASE IS THIS TRUCK IS IN GOOD CONDITION. DUE TO BUDGET CONSTRAINTS WE ARE CURRENTLY UNABLE TO PURCHASE MUCH NEEDED EQUIPMENT LIKE TRUCK.</t>
  </si>
  <si>
    <t>2YTG5752068318</t>
  </si>
  <si>
    <t xml:space="preserve">
Sales Order #: 2272913950
RTD Screening Code: GSA
Reason for Rejection: YH</t>
  </si>
  <si>
    <t>WILL BE USED FOR AT THE DEPT TO INSPECT VEHICLES FOR DRUGS. ALSO TO INSPECT DEPUTY VEHICLES WHEN ISSUES OCCUR.</t>
  </si>
  <si>
    <t>2YTGK952139494</t>
  </si>
  <si>
    <t>OUR AGENCY NEEDS A FORKLIFT TO SAFELY MANAGE HEAVY EQUIPMENT USED BY POLICE OFFICERS DURING EMERGENCY RESPONSE, PUBLIC SAFETY EVENTS, AND TRAINING. IT WILL ASSIST IN MOVING LESO-OBTAINED ITEMS, SANDBAGS, BARRICADES, AND SUPPLIES, IMPROVING OFFICER EFFICIENCY AND SAFETY. DUE TO LIMITED BUDGET, OBTAINING ONE THROUGH LESO ENSURES CRITICAL SUPPORT WITHOUT ADDED COST TO THE CITY.</t>
  </si>
  <si>
    <t>2YTC8P52279743</t>
  </si>
  <si>
    <t>PERSON COUNTY SHERIFFS OFFICE CAN USE THIS EQUIPMENT TO BE ABLE TO ACCURATELY AND SAFELY RESPOND TO HOSTAGE AND BARRICADE CALL OUTS AT NIGHT WHILE PAIRED WITH NVGS TO PREFORM LIFE SAVING DECISIONS AT NIGHT</t>
  </si>
  <si>
    <t>2YTJKM52279759</t>
  </si>
  <si>
    <t xml:space="preserve">
Sales Order #: 2264914138
RTD Screening Code: DOD
Reason for Rejection: YH</t>
  </si>
  <si>
    <t>THE SCOTT COUNTY SHERIFFS OFFICE CAN UTILIZE THIS ITEM TO PULL TRAILERS HAULING OUR BROKE DOWN VEHICLES FROM LOCATION TO LOCATION.</t>
  </si>
  <si>
    <t>2YTKUZ51575731</t>
  </si>
  <si>
    <t xml:space="preserve">
Sales Order #: 2269385381
RTD Screening Code: DOD
Reason for Rejection: YG</t>
  </si>
  <si>
    <t>THIS ITEM WOULD BE USED TO TRANSPORT FUEL TO OUR GENERATORS AT THE FIRING RANGE AND FOR STORAGE OF FUEL FOR GENERATORS</t>
  </si>
  <si>
    <t>2YTRAR51716055</t>
  </si>
  <si>
    <t xml:space="preserve">
Sales Order #: 2270940605
Reason for Rejection: YH</t>
  </si>
  <si>
    <t>THIS WILL ALLOW LAW ENFORCEMENT TO SAFELY COMMUNICATE AND IDENTIFY TARGETS WITHOUT THE NEED TO USE WHITE LIGHT AND GIVE THEIR POSITION AWAY.</t>
  </si>
  <si>
    <t>2YTJK251857307</t>
  </si>
  <si>
    <t xml:space="preserve">
Sales Order #: 2271113927
RTD Screening Code: DOD
Reason for Rejection: YH</t>
  </si>
  <si>
    <t>THE PIEDMONT POLICE DEPARTMENT WOULD UTILIZE THIS VEHICLE IN IT'S K9 UNIT. THIS EQUIPMENT WOULD GREATLY BENEFIT THE POLICE DEPARTMENT AND THE COMMUNITY THAT IT SERVES. THE PIEDMONT POLICE DEPARTMENT IS IN GREAT NEED OF VEHICLES AND ESPECIALLY A K9 TRANSPORT VEHICLE.</t>
  </si>
  <si>
    <t>2YTJMH51927601</t>
  </si>
  <si>
    <t xml:space="preserve">
Sales Order #: 2271232354
RTD Screening Code: DOD
Reason for Rejection: YH</t>
  </si>
  <si>
    <t>THE HOWELL COUNTY SHERIFF'S OFFICE IS A LAW ENFORCEMENT AGENCY. THE REQUESTED LOADER WOULD REPLACE A PREVIOUSLY ACQUIRED INOPERABLE UNIT. THIS BULLDOZER WILL BE USED TO MOVE DEBRIS FROM ROADWAYS AFTER NATURAL DISASTERS. THIS LOADER WOULD BE CRUCIAL FOR DISASTER RESPONSE IN THE FUTURE AND AID IN ACCESSING BLOCKED ROADS, HOMES AND PERSONS IN NEED OF MEDICAL ATTENTION. UNIT WILL ALSO BE USED TO BUILD AND MAINTAIN BERM AT THE HCSO SHOOTING RANGE.</t>
  </si>
  <si>
    <t>2YTFKX51997872</t>
  </si>
  <si>
    <t xml:space="preserve">
Sales Order #: 2271532141
RTD Screening Code: DON
Reason for Rejection: YH</t>
  </si>
  <si>
    <t>FEDERAL SCREENER FOR DIVISION WITH 200 LAW ENFORCEMENT AGENTS TO INCLUDE 19 SWAT OPERATORS.  THESE PROTECT NIGHT VISION LENSES FROM DAMAGE.</t>
  </si>
  <si>
    <t>2YTQY151927934</t>
  </si>
  <si>
    <t xml:space="preserve">
Sales Order #: 2272124121
RTD Screening Code: DOD
Reason for Rejection: YH</t>
  </si>
  <si>
    <t>I HAVE CONTACTED THE SITE AND CONFIRMED CONDITION MEETS THE NEEDS FOR USE IN THE LRFO FOR NIGHT VISION ILLUMINATORS.</t>
  </si>
  <si>
    <t>2YTMRY52068354</t>
  </si>
  <si>
    <t xml:space="preserve">
Sales Order #: 2271880451
RTD Screening Code: DOD
Reason for Rejection: YH</t>
  </si>
  <si>
    <t>2YTMRY52068353</t>
  </si>
  <si>
    <t xml:space="preserve">
Sales Order #: 2271794884
RTD Screening Code: GSA
Reason for Rejection: YH</t>
  </si>
  <si>
    <t>THIS WILL BE USED BY LAW ENFORCEMENT AT THE JEFFERSON COUNTY SHERIFF'S OFFICE AT THE SPECIAL OPERATIONS VEHICLE GARAGE TO HELP MAINTAIN THOSE VEHICLES AND EQUIPMENT</t>
  </si>
  <si>
    <t>2YTFX451998406</t>
  </si>
  <si>
    <t xml:space="preserve">
Sales Order #: 2272671825
RTD Screening Code: GSA
Reason for Rejection: YH</t>
  </si>
  <si>
    <t>THE TEHAMA COUNTY DISTRICT ATTORNEY BUREAU OF INVESTIGATIONS WILL USE BATTERY CHARGER FOR EVIDENCE VEHICLES AND MAINTENANCE FOR DUTY VEHICLES.</t>
  </si>
  <si>
    <t>2YTLQ852139130</t>
  </si>
  <si>
    <t xml:space="preserve">
Sales Order #: 2272671658
RTD Screening Code: DOD
Reason for Rejection: YH</t>
  </si>
  <si>
    <t>THE TEHAMA COUNTY DISTRICT ATTORNEY BUREAU OF INVESTIGATIONS WILL USE SWAGING TOOL KIT,WI FOR VEHICLE REPAIR, SHOOT HOUSE CONSTRUCTION, RANGE REPAIR AND DEPARTMENT MAINTENANCE.</t>
  </si>
  <si>
    <t>2YTLQ852139128</t>
  </si>
  <si>
    <t xml:space="preserve">
Sales Order #: 2272251600
RTD Screening Code: DOD
Reason for Rejection: YH</t>
  </si>
  <si>
    <t>2YTLQ852139099</t>
  </si>
  <si>
    <t xml:space="preserve">
Sales Order #: 2272340678
RTD Screening Code: DOD
Reason for Rejection: Y9</t>
  </si>
  <si>
    <t>THIS ITEM IS BEING REQUESTED FOR LAW ENFORCEMENT USE ONLY. POLICE OFFICERS WILL USE THESE CHAIRS DURING DURING POLICE DEPARTMENT BRIEFINGS AT ROLL CALL.</t>
  </si>
  <si>
    <t>2YTPXC52209183</t>
  </si>
  <si>
    <t xml:space="preserve">
Sales Order #: 2273135989
RTD Screening Code: DOD
Reason for Rejection: Y9</t>
  </si>
  <si>
    <t>TO BE USED BY LAW ENFORCEMENT OFFICERS TO STORE EQUIPMENT THAT CAN EASILY BE ACCESSED IN CASE OF AN EMERGENT SITUATION.</t>
  </si>
  <si>
    <t>2YTEZF52189818</t>
  </si>
  <si>
    <t>USBP WILL USE FOR UPKEEP AND MAINTENANCE OF BORDER WALL AND PERIMETER FENCING. MAINTAINING THE PHYSICAL INTEGRITY WILL ALLOW USBP AGENTS TO EXPAND PATROLS OUTSIDE THE PERIMETER.</t>
  </si>
  <si>
    <t>2YTMDH52279830</t>
  </si>
  <si>
    <t xml:space="preserve">
Sales Order #: 2250762681
RTD Screening Code: DOD
Reason for Rejection: YG</t>
  </si>
  <si>
    <t>THE BENTON HARBOR DEPT. OF PUBLIC SAFETY WILL USE THIS TO PATROL THE WATERWAYS IN AND AROUND OUR AOR AS WELL AS ASSIST IN RESCUE OPERATIONS, INTERDICTION, AND LIKE INCIDENTS WITH OUR NEIGHBORING AGENCIES.</t>
  </si>
  <si>
    <t>2YTA5D51646406</t>
  </si>
  <si>
    <t xml:space="preserve">
Sales Order #: 2268294546
RTD Screening Code: DOD
Reason for Rejection: YG</t>
  </si>
  <si>
    <t>JEFFERSON COUNTY HAS A POPULATION OF APPROXIMATELY 256,526 PEOPLE. IT IS 1,113 SQUARE MILES, WITH APPROXIMATELY 876 SQUARE MILES OF LAND AND 236 SQUARE MILES OF WATER. WE ALSO ARE RESPONSIBLE FOR OVER 30 MILES OF GULF OF MEXICO COASTLINE. THE VEHICLE WILL BE USED TO TRANSFER LAW ENFORCEMENT PERSONNEL AND SUPPLIES IN THE EVENT OF A NATURAL DISASTER OR INTO A REMOTE AREAS. THIS VEHICLE WILL INCREASE OUR ABILITY TO BETTER FULFILL OUR ABILITY TO KEEP THE PEACE.</t>
  </si>
  <si>
    <t>2YTFX351786751</t>
  </si>
  <si>
    <t xml:space="preserve">
Sales Order #: 2260556683
RTD Screening Code: DOD
Reason for Rejection: YH</t>
  </si>
  <si>
    <t>FOR USE BY ON DUTY OSD OFFICERS ASSIGNED TO THE SHERIFF'S SEARCH AND RESCUE TEAM WHEN RESPONDED TO TECHNICAL RESCUE INCIDENTS. THIS TRUCK WOULD BE USED TO TRANSPORT RESCUE EQUIPMENT TO THE SCENE THAT IS CURRENTLY TRANSPORTED IN MULTIPLE SEPARATE TRAILERS THAT EACH REQUIRE A DEDICATED TOW VEHICLE.</t>
  </si>
  <si>
    <t>2YT1WK51857147</t>
  </si>
  <si>
    <t xml:space="preserve">
Sales Order #: 2270896690
RTD Screening Code: DOD
Reason for Rejection: YG</t>
  </si>
  <si>
    <t>WILL BE USED BY LAW INFORCEMENT FOR LAW ENFORCMENT.  TENT WILL BE USED BY DEPARTMENT DURING NATIONAL NIGHT OUT AND POLICE EVENTS</t>
  </si>
  <si>
    <t>TENT,WALL MEMBER,TAN, BASE-X</t>
  </si>
  <si>
    <t>2YTJXJ51927537</t>
  </si>
  <si>
    <t xml:space="preserve">
Sales Order #: 2271116264
RTD Screening Code: DOD
Reason for Rejection: Y9</t>
  </si>
  <si>
    <t>I HAVE CONTACTED THE SITE AND CONFIRMED CONDITION MEETS THE NEEDS FOR USE IN THE LRFO FOR AGENTS BOTH OPERATIONALLY AND TRAINING WITH NIGHT VISION.</t>
  </si>
  <si>
    <t>2YTMRY51997910</t>
  </si>
  <si>
    <t xml:space="preserve">
Sales Order #: 2271532122
RTD Screening Code: DOD
Reason for Rejection: Y9</t>
  </si>
  <si>
    <t xml:space="preserve">I HAVE CONTACTED THE SITE AND CONFIRM AND ACCEPT THE CONDITION CODE OF THE ITEMS.  FEDERAL SCREENER FOR DIVISION WITH 200 LAW ENFORCEMENT AGENTS TO INCLUDE 19 SWAT OPERATORS.  MOST OPERATORS ARE USING SINGLE TUBE NVGS THAT ARE OUT OF WARRANTY.  DUE TO A MAJORITY OF HIGH RISK OPERATIONS IN LOW LIGHT CONDITIONS IT IS CRITICAL TO HAVE BETTER EQUIPMENT FOR OFFICER SAFETY THESE ARE FAR SUPERIOR TO WHAT ARE FIELDED.  THERE HAS BEEN NO FUNDING FOR NIGHT VISION OPTICS NOR HAS THERE BEEN FOR YEARS.  
</t>
  </si>
  <si>
    <t>2YTQY151997931</t>
  </si>
  <si>
    <t xml:space="preserve">
Sales Order #: 2271532136
RTD Screening Code: DOD
Reason for Rejection: Y9</t>
  </si>
  <si>
    <t>REQUESTED BY FBI NEWARK SWAT TO ENHANCE AGENT SAFETY DURING LOW LIGHT TRAINING AND ENFORCEMENT OPERATIONS.</t>
  </si>
  <si>
    <t>2YTRW551998101</t>
  </si>
  <si>
    <t xml:space="preserve">
Sales Order #: 2271889581
RTD Screening Code: DOD
Reason for Rejection: Y9</t>
  </si>
  <si>
    <t>2YTRTP51998100</t>
  </si>
  <si>
    <t xml:space="preserve">
Sales Order #: 2271789813
RTD Screening Code: DOD
Reason for Rejection: Y9</t>
  </si>
  <si>
    <t>THE HOWELL COUNTY SHERIFF'S OFFICE IS A LAW ENFORCEMENT AGENCY. HCSO WILL THESE OPTICS FOR EMERGENCY RESPONSE TO ACTIVE SHOOTERS MANHUNTS, AND OTHER EMERGENCY SITUATIONS AS THEY ARISE. THESE WILL AID IN POSITIVE IDENTIFICATION OF SUSPECTS AND WILL BE AN UPGRADE FROM OLD AND OUTDATED OPTICS CURRENTLY IN USE BY HCSO DEPUTIES.</t>
  </si>
  <si>
    <t>2YTFKX52068316</t>
  </si>
  <si>
    <t xml:space="preserve">
Sales Order #: 2267811061
RTD Screening Code: DOD
Reason for Rejection: YH</t>
  </si>
  <si>
    <t>REQUESTED BY NORTH MYRTLE BEACH POLICE DEPARTMENT FOR USE BY NMB POLICE OFFICERS IN AGENCY TRUCK TO TOW AGENCY FIFTH WHEEL TRAILERS.</t>
  </si>
  <si>
    <t>FIFTH WHEEL ASSEMBL</t>
  </si>
  <si>
    <t>2YT1PG52138611</t>
  </si>
  <si>
    <t xml:space="preserve">
Sales Order #: 2272671708
RTD Screening Code: DOD
Reason for Rejection: YH</t>
  </si>
  <si>
    <t>PSP WILL USE THESE ITEMS FOR RANGE MAINTENANCE STRICTLY AT OUR PA STATE POLICE ACADEMY.</t>
  </si>
  <si>
    <t>2YTJA952069122</t>
  </si>
  <si>
    <t xml:space="preserve">
Sales Order #: 2272740115
RTD Screening Code: DOD
Reason for Rejection: Y9</t>
  </si>
  <si>
    <t>PERSON COUNTY SHERIFFS OFFICE WILL USE THE EQUIPMENT FOR HOSTAGE RESCUE, BARRICADE CALLS, SUSPICIOUS PACKAGES OR ANY OTHER EMERGENCY WHERE THE EQUIPMENT WILL KEEP OFFICERS SAFER</t>
  </si>
  <si>
    <t>2YTJKM52489182</t>
  </si>
  <si>
    <t xml:space="preserve">
Sales Order #: 2272946824
RTD Screening Code: DOD
Reason for Rejection: Y9</t>
  </si>
  <si>
    <t>PSP WILL USE THESE ITEMS FOR WOODED TERRAIN SEARCHES AND WARRANT SERVICES.</t>
  </si>
  <si>
    <t>2YTJA952279698</t>
  </si>
  <si>
    <t xml:space="preserve">
Sales Order #: 2273286988
RTD Screening Code: DOD
Reason for Rejection: Y9</t>
  </si>
  <si>
    <t>THE TLETA FIREARMS RANGE SUPPORTS CITY, COUNTY, STATE, AND FEDERAL AGENCIES IN TRAINING.  THIS IS TO INCLUDE THE ICE, CBP, U.S. MARSHALLS, AND THE JOINT TERRORISM TASK FORCE NEAR THE NASHVILLE DISTRICT.  THIS UNIT WILL BE USED TO TRANSPORT AMMUNITION, EQUIPMENT, AND PERSONNEL TO AND FROM THE FIREARMS RANGE.  CURRENTLY AMMUNITION AND EQUIPMENT MUST BE CARRIED TO THE RANGE BY HAND.  THIS WILL ALLOW US TO USE OUR TIME MORE EFFICIENTLY.</t>
  </si>
  <si>
    <t>2YTP3552279856</t>
  </si>
  <si>
    <t xml:space="preserve">
Sales Order #: 2269409376
RTD Screening Code: DOD
Reason for Rejection: Y9</t>
  </si>
  <si>
    <t>THESE COMPUTER MONITORS WILL BE USED TO CREATE DUAL MONITOR WORKSTATIONS IN THE PATROL OFFICE AND SERGEANTS OFFICERS TO CREATE A MORE EFFICIENT WORKSPACE WHEN COMPLETING REPORTS</t>
  </si>
  <si>
    <t>2YTBM052279872</t>
  </si>
  <si>
    <t>THE SARDINIA POLICE DEPARTMENT HAS A RESCUE DIVER IN NEED OF THE REQUESTING RESCUE DIVER RESOURCES TO CONDUCT DIVER SEARCH AND RESCUE MISSIONS.   WITH LIMITED RESOURCES AND FUNDING, RECEIPT OF REQUESTED ITEMS WOULD REDUCE THE ADDITIONAL COST THAT SARDINIA POLICE DEPARTMENT WOULD FACE PURCHASING RESOURCES TO SUPPORT SARDINIA POLICE DEPARTMENT RESCUE DIVER.</t>
  </si>
  <si>
    <t>2YTKSE52279955</t>
  </si>
  <si>
    <t xml:space="preserve">
Sales Order #: 2269409382
RTD Screening Code: DOD
Reason for Rejection: Y9</t>
  </si>
  <si>
    <t>OFF-ROAD VEHICLE TO PATROL TOWNSHIP PARKS THAT PATHS ARE TOO NARROW FOR A CRUISER TO FIT. WILL TRANSPORT EQUIPMENT TO DIFFICULT-TO-REACH POSITIONS.</t>
  </si>
  <si>
    <t>2YTHZ852279881</t>
  </si>
  <si>
    <t xml:space="preserve">
Sales Order #: 2269409380
RTD Screening Code: DOD
Reason for Rejection: Y9</t>
  </si>
  <si>
    <t>THE DEPARTMENT CAN USE A WELDER TO REPAIR DAMAGE TO METAL PUSH BUMPERS AND FABRICATE TRUNK TRAYS TO ORGANIZE EQUIPMENT.</t>
  </si>
  <si>
    <t>2YTHZ852209884</t>
  </si>
  <si>
    <t>FOR USE BY REQUESTING AGENCY.  FOR LAW ENFORCEMENT USE AND GENERAL CLEANING PURPOSES AT MONTESANO POLICE DEPARTMENT.</t>
  </si>
  <si>
    <t>TOWEL,MACHINERY WIPING</t>
  </si>
  <si>
    <t>2YTHYA52279964</t>
  </si>
  <si>
    <t>WE WOULD LIKE TO HAVE THE WELDER TO HELP BUILD STEEL TARGETS AND DOOR FRAMES THAT WE USE FOR TRAINING. THE STEEL DOOR FRAMES HELP OUR SWAT TEAM PRACTICE BREACHING FOR EMERGENCY RESPONSE SITUATIONS. THE STEEL TARGETS WILL ALLOW US TO BE MORE CREATIVE ON THE FIRING RANGE. THE WELDER WILL BE USED BY OUR DEPARTMENT ONLY</t>
  </si>
  <si>
    <t>2YTHQ052209922</t>
  </si>
  <si>
    <t>DEPUTIES CAN USE IN AREAS WHERE A FULL SIZE VEHICLE CANNOT FIT. ESPECIALLY IN ROUGHER TERRAIN.</t>
  </si>
  <si>
    <t>2YTGK952279944</t>
  </si>
  <si>
    <t>CAN BE USED FOR REPAIR ON SHERIFF UNITS. WILL BE VERY USEFUL AT TRAINING FACILITIES ON EQUIPMENT THE DEPUTIES AND SWAT USE.</t>
  </si>
  <si>
    <t>2YTGK952209941</t>
  </si>
  <si>
    <t xml:space="preserve">
Sales Order #: 2273248647
RTD Screening Code: DOD
Reason for Rejection: Y9</t>
  </si>
  <si>
    <t>FLAT PANEL MONITORS WILL BE USED TO REPLACE OLDER MONITORS THAT FULL TIME SWORN LAW ENFORCEMENT OFFICERS USE.</t>
  </si>
  <si>
    <t>2YTPDD52279887</t>
  </si>
  <si>
    <t xml:space="preserve">
Sales Order #: 2272124125
Reason for Rejection: YH</t>
  </si>
  <si>
    <t xml:space="preserve">I HAVE CONTACTED THE SITE AND CONFIRM AND ACCEPT THE CONDITION CODE OF THE ITEMS. FEDERAL SCREENER FOR DIVISION WITH 200 LAW ENFORCEMENT AGENTS TO INCLUDE 19 SWAT OPERATORS.  MOST OPERATORS ARE USING SINGLE TUBE NVGS THAT ARE OUT OF WARRANTY. DUE TO A MAJORITY OF HIGH RISK OPERATIONS IN LOW LIGHT CONDITIONS IT IS CRITICAL TO HAVE BETTER EQUIPMENT FOR OFFICER SAFETY.  THERE HAS BEEN NO FUNDING FOR NIGHT VISION OPTICS NOR HAS THERE BEEN FOR YEARS.  
</t>
  </si>
  <si>
    <t>2YTQY152068381</t>
  </si>
  <si>
    <t xml:space="preserve">
Sales Order #: 2269563374
RTD Screening Code: DOD
Reason for Rejection: YH</t>
  </si>
  <si>
    <t>TENT, BODY, USMC COMBAT 2 MAN</t>
  </si>
  <si>
    <t>2YTKJH52138693</t>
  </si>
  <si>
    <t xml:space="preserve">
Sales Order #: 2272823724
RTD Screening Code: DOD
Reason for Rejection: Y9</t>
  </si>
  <si>
    <t>FOR USE BY LEA TO CONDUCT SURVEILLANCE AND DOCUMENT CRIME SCENE</t>
  </si>
  <si>
    <t>2YTMPA52209313</t>
  </si>
  <si>
    <t xml:space="preserve">
Sales Order #: 2272823712
RTD Screening Code: DOD
Reason for Rejection: Y9</t>
  </si>
  <si>
    <t>FOR USE BY LEA TO CONDUCT SURVEILLANCE</t>
  </si>
  <si>
    <t>2YTMPA52209309</t>
  </si>
  <si>
    <t xml:space="preserve">
Sales Order #: 2272850518
RTD Screening Code: DOD
Reason for Rejection: Y9</t>
  </si>
  <si>
    <t>THIS ASSET WOULD BENEFIT US BY ALLOWING OUR OFFICERS TO UTILIZE THIS AS A TRANSPORT VEHICLE TO WORK IN OUR NEGHBORHOODS FOR COMMUNITY POLICING AS WELL AS PARKING AND TRAFFIC ENFORCEMENT DUTIES</t>
  </si>
  <si>
    <t>2YTS0852209467</t>
  </si>
  <si>
    <t xml:space="preserve">
Sales Order #: 2272814501
RTD Screening Code: DOD
Reason for Rejection: Y9</t>
  </si>
  <si>
    <t>THE PICKETT COUNTY SHERIFFS OFFICE WOULD LIKE TO REQUEST THIS ITEM FOR USE IN TOWN EVENTS TO BE ABLE TO MOVE AROUND EASIER THEN WE CAN IN A FULL SIZE PATROL UNIT</t>
  </si>
  <si>
    <t>2YTJMF52209464</t>
  </si>
  <si>
    <t>PICKETT COUNTY SHERIFF OFFICE (2YTJMF)</t>
  </si>
  <si>
    <t>PROVIDE TO OUR OFFICERS TO USE ON THEMSELVES, THEIR PARTNERS, AND CITIZENS OF THE COMMUNITY IN CASE OF MEDICAL EMERGENCIES.</t>
  </si>
  <si>
    <t>2YTEC852209772</t>
  </si>
  <si>
    <t xml:space="preserve">
Sales Order #: 2272804859
RTD Screening Code: DOD
Reason for Rejection: BQ</t>
  </si>
  <si>
    <t>THE TOWN OF CARMEL POLICE DEPARTMENT WILL USE THESE LAPTOPS TO ASSIST WITH COMPUTER BASED TRAININGS AS WELL AS THEM BEING USED BY DETECTIVE AND PATROL OFFICERS IN THEIR VEHICLES. I HAVE CONTACTED THE DS SITE AND ACCEPT THE CONDITION THEY ARE IN.</t>
  </si>
  <si>
    <t>2YTBZS52209840</t>
  </si>
  <si>
    <t xml:space="preserve">
Sales Order #: 2272804857
RTD Screening Code: DOD
Reason for Rejection: Y9</t>
  </si>
  <si>
    <t>THESE FIRST AID KITS WILL BE PLACED IN OUR RAPID RESPONSE VEHICLE WHICH IS USED TO RESPOND TO ACTIVE THREAT SITUATIONS AS IT HAS ADDITIONAL EMERGENCY EQUIPMENT SUCH AS BALLISTIC SHIELDS, BREACHING TOOLS, AND RESCUE EQUIPMENT</t>
  </si>
  <si>
    <t>2YTBM052209868</t>
  </si>
  <si>
    <t>THE SARDINIA POLICE DEPARTMENT IS REQUESTING UNMANNED AERIAL VEHICLE RESOURCE TO ASSISTANCE IN SERVING WARRANTS, EMERGENCIES AND NATURAL DISASTERS, ASSESSING AN AREA BEFORE COMMITTING TO A SEARCH OR ENTRY, MAPPING OUTDOOR CRIME SCENE, STOLEN ITEMS AND LOCATING LOST PERSONNEL. WITH LIMITED RESOURCES AND FUNDING, RECEIPT OF REQUESTED ITEMS WOULD REDUCE THE ADDITIONAL COST SARDINIA POLICE DEPARTMENT WOULD FACE PURCHASING AN UNMANNED AERIAL VEHICLE RESOURCE TO SUPPORT DURING CRITICAL SITUATIONS.</t>
  </si>
  <si>
    <t>2YTKSE52209961</t>
  </si>
  <si>
    <t>2YTKSE52209960</t>
  </si>
  <si>
    <t xml:space="preserve">
Sales Order #: 2270033322
RTD Screening Code: DOD
Reason for Rejection: Y9</t>
  </si>
  <si>
    <t>RCSO NEEDS THIS EQUIPMENT TO ASSIST WITH SEARCH AND RESCUE, SURVEILLANCE, AND OVERALL OVERHEAD SCENE OBSERVATIONS.  CURRENTLY THE AGENCY DOES NOT HAVE THIS CAPABILITY, HOWEVER, THERE ARE QUALIFIED OPERATORS FOR THE EQUIPMENT.</t>
  </si>
  <si>
    <t>2YTJ7852279966</t>
  </si>
  <si>
    <t xml:space="preserve">
Sales Order #: 2269409383
RTD Screening Code: DOD
Reason for Rejection: Y9</t>
  </si>
  <si>
    <t>A PORTABLE GENERATOR THAT CAN ASSIST IN POWERING ELECTRONIC EQUIPMENT IN THE FIELD, SUCH AS COMPUTERS, PRINTERS, AND STANDALONE LIGHTS, TO KEEP SCENES WELL-LIT.</t>
  </si>
  <si>
    <t>2YTHZ852279883</t>
  </si>
  <si>
    <t xml:space="preserve">
Sales Order #: 2273330734
RTD Screening Code: GSA
Reason for Rejection: YH</t>
  </si>
  <si>
    <t>FOR USE BY REQUESTING AGENCY.  INTENDED FOR USE AT MONTESANO POLICE DEPARTMENT FOR LAW ENFORCEMENT OFFICE.</t>
  </si>
  <si>
    <t>2YTHYA52189958</t>
  </si>
  <si>
    <t xml:space="preserve">
Sales Order #: 2270769851
RTD Screening Code: DOD
Reason for Rejection: Y9</t>
  </si>
  <si>
    <t>WE WOULD LIKE TO HAVE THE KITS TO USE ON OUR SWAT TEAM. OUR TEAM SERVES HIGH-RISK WARRANTS AND ALSO RESPONDS TO ACTIVE SHOOTER EVENTS. THE KITS WILL BE USED SOLELY BY OUR DEPARTMENT.</t>
  </si>
  <si>
    <t>2YTHQ052209923</t>
  </si>
  <si>
    <t xml:space="preserve">
Sales Order #: 2270033321
RTD Screening Code: DOD
Reason for Rejection: Y9</t>
  </si>
  <si>
    <t xml:space="preserve">LOCHBUIE PD IS A SMALL AGENCY WITH A LIMITED BUDGET. WE CURRENTLY HAVE TWO LICENSED DRONE PILOTS WITH A THIRD ON THE WAY. HOWEVER, DUE TO OUR BUDGET RESTRICTIONS, THEY ARE USING CHEAP COMMERCIAL DRONE EQUIPMENT. THIS DRONE WOULD BE OF HUGE BENEFIT TO THE DEPARTMENT. I HAVE CONFIRMED THE CONDITION WITH THE DTID
</t>
  </si>
  <si>
    <t>2YTGVE52279942</t>
  </si>
  <si>
    <t>2YTKSE52200001</t>
  </si>
  <si>
    <t>PERSON COUNTY SHERIFF'S OFFICE CAN USE THIS EQUIPMENT TO CONDUCT NARCOTIC SURVEILLANCE AS WELL AS NATURAL DISASTER RESPONSE AND LOCATING MISSING PERSONS AS WELL AS A LARGE AMOUNT OF CALLS THE SHERIFFS OFFICE RECEIVES DAILY.</t>
  </si>
  <si>
    <t>2YTJKM52279982</t>
  </si>
  <si>
    <t xml:space="preserve">
Sales Order #: 2272393992
RTD Screening Code: DOD
Reason for Rejection: BQ</t>
  </si>
  <si>
    <t>2YTCHK5220KM02</t>
  </si>
  <si>
    <t xml:space="preserve">
Sales Order #: 2270896706
RTD Screening Code: DOD
Reason for Rejection: YG</t>
  </si>
  <si>
    <t>ITEM WILL BE USED BY THE ORANGE COUNTY SHERIFF'S DEPARTMENT FOR THE PURPOSE OF PLACEMENT ON LESS LETHAL LAUNCHERS. THE SLINGS WILL PROVIDE RETENTION OPTIONS TO ALLOW THE UNITS TO BE PROPERLY SECURED DURING DEPLOYMENTS.</t>
  </si>
  <si>
    <t>2YT14Z51927655</t>
  </si>
  <si>
    <t xml:space="preserve">
Sales Order #: 2271234633
RTD Screening Code: DOD
Reason for Rejection: YG</t>
  </si>
  <si>
    <t>AMPD CURRENTLY HAS 0 RIOT CONTROL GEAR. WITH CIVIL UNREST BECOMING MORE AND MORE PREVALENT IT IS APPARENT THAT WE SHOULD PREPARE FOR THE POTENTIAL. ADDITIONALLY, TRAINING HAS BEEN OFFERED IN THE AREA THAT REQUIRE THE GEAR TO BE OBTAINED PRIOR TO THE CLASS BEING ATTENDED.</t>
  </si>
  <si>
    <t>RIOT CONTROL SHIELD</t>
  </si>
  <si>
    <t>2YTARY51927723</t>
  </si>
  <si>
    <t>AURORA POLICE DEPT (2YTARY)</t>
  </si>
  <si>
    <t xml:space="preserve">
Sales Order #: 2267811079
RTD Screening Code: DOD
Reason for Rejection: YH</t>
  </si>
  <si>
    <t>WE ARE THE BOAZ POLICE DEPT. WE ARE IN NEED OF A MULTI USE VEHICLE. WE CA USE TO TRANSPORT BARRICADES DURING BAD WEATHER AND OTHER DETAILS. ALSO, WE DO NOT HAVE PICK UP TRUCKS TO GATHER AND TRANSPORT SUPPLIES, AN UNMARKED VEHICLE MAY BE USED TO UNDERCOVER WORK AND DRUG INTERDICTION. OUR VEHICLES ARE CARS WITH LIMITED USE. WE NEED MULTI USE VEHICLES FOR SPECIAL DETAILS. THANK YOU FOR YOUR TIME</t>
  </si>
  <si>
    <t>2YTBCH52138644</t>
  </si>
  <si>
    <t xml:space="preserve">
Sales Order #: 2272671652
RTD Screening Code: GSA
Reason for Rejection: YG</t>
  </si>
  <si>
    <t>THE TEHAMA COUNTY DISTRICT ATTORNEY BUREAU OF INVESTIGATIONS WILL USE FELT SHEET FOR SNIPER MATTS OR RANGE GROUND MATTS AS SHOOTER PROTECTION</t>
  </si>
  <si>
    <t>SF</t>
  </si>
  <si>
    <t>FELT SHEET</t>
  </si>
  <si>
    <t>2YTLQ852139109</t>
  </si>
  <si>
    <t xml:space="preserve">
Sales Order #: 2272728309
RTD Screening Code: DOD
Reason for Rejection: Y9</t>
  </si>
  <si>
    <t>2YTNPQ52209260</t>
  </si>
  <si>
    <t xml:space="preserve">
Sales Order #: 2269563403
RTD Screening Code: DOD
Reason for Rejection: Z2</t>
  </si>
  <si>
    <t>THIS WOULD ASSIST THE KINSEY POLICE DEPARTMENT IN HANGING LIGHTS AT OUR FIRING RANGE AND BEING ABLE TO REACH AND TRIM TREES SO THAT WE CAN KEEP THE AREA OF THE FIRING RANGE CLEAN. THIS WOULD ALSO ASSIST THE POLICE DEPARTMENT IN DISASTERS IN CLEANING AND CLEARING ROADS TO GET TO CIVILIANS FOR FIRST AID</t>
  </si>
  <si>
    <t>2YTRAR52209223</t>
  </si>
  <si>
    <t xml:space="preserve">
Sales Order #: 2272393948
RTD Screening Code: DOD
Reason for Rejection: Y9</t>
  </si>
  <si>
    <t>THE HOWELL COUNTY SHERIFF'S OFFICE IS A LAW ENFORCEMENT AGENCY. HCSO WILL THIS VEHICLE FOR PATROL USE AND RESPONSE TO EMERGENCIES SUCH AS NATURAL DISASTERS, MISSING PERSONS, MANHUNTS. CRIME SCENES AND OTHER EMERGENCY SITUATIONS AS THEY ARISE. HCSO PATROLS 926 SQ MILES OF VERY RURAL??ROUGH TERRAIN. IN ADDITION, HCSO ALSO RESPONDS TO AND PATROLS OVER 50,000 ACRES OF STATE AND NATIONAL FORREST LAND WITHIN HOWELL COUNTY.</t>
  </si>
  <si>
    <t>2YTFKX52209221</t>
  </si>
  <si>
    <t xml:space="preserve">
Sales Order #: 2272671878
RTD Screening Code: DOD
Reason for Rejection: Y9</t>
  </si>
  <si>
    <t>THIS VEHICLE WOULD BE USED BY THE POLICE DEPARTMENT FOR SPECIAL OPERATIONS AS WELL AS HAULING FOUND PROPERTY.  THIS WOULD ALSO TRANSPORT THE POLICE RADAR TRAILER AS WELL AS ACT A SPARE VEHICLE FOR SPECIAL EVENTS AND USED BY POLICE OFFICERS TO TRAVEL FOR TRAINING PROVIDING A MUCH NEEDED RESOURCE OUR DEPARTMENT LACKS CURRENTLY.</t>
  </si>
  <si>
    <t>2YTC8P52209226</t>
  </si>
  <si>
    <t xml:space="preserve">
Sales Order #: 2272566483
RTD Screening Code: DOD
Reason for Rejection: Y9</t>
  </si>
  <si>
    <t>2YTANX52209212</t>
  </si>
  <si>
    <t xml:space="preserve">
Sales Order #: 2272813394
RTD Screening Code: DOD
Reason for Rejection: Z2</t>
  </si>
  <si>
    <t>2YTS0952209376</t>
  </si>
  <si>
    <t xml:space="preserve">
Sales Order #: 2272755816
RTD Screening Code: DOD
Reason for Rejection: Z2</t>
  </si>
  <si>
    <t>2YTBJQ52209366</t>
  </si>
  <si>
    <t xml:space="preserve">
Sales Order #: 2273248643
RTD Screening Code: DOD
Reason for Rejection: Z2</t>
  </si>
  <si>
    <t>THESE WILL BE USED BY SWAT TEAM MEMBERS FOR RAPPELLING OPERATIONS TO ALLOW THE OPERATORS TO CONTROLLER THEIR DESCENT AND BE SECURE IN PLACE OUTSIDE A MULTI STORE BUILDING DURING CRITICAL INCIDENTS</t>
  </si>
  <si>
    <t>2YTES752209549</t>
  </si>
  <si>
    <t>GREELEY POLICE DEPT (2YTES7)</t>
  </si>
  <si>
    <t xml:space="preserve">
Sales Order #: 2273286985
RTD Screening Code: DOD
Reason for Rejection: Y9</t>
  </si>
  <si>
    <t>FOR USE BY RESCUE AND LE TEAMS FOR TREATMENT OF INJURED PERSONNEL IN THE FIELD AND DURING TRAINING.</t>
  </si>
  <si>
    <t>FIRST AID KIT,GENER</t>
  </si>
  <si>
    <t>2YTMGW52209634</t>
  </si>
  <si>
    <t xml:space="preserve">
Sales Order #: 2257664487
RTD Screening Code: DOD
Reason for Rejection: Z2</t>
  </si>
  <si>
    <t>2YTHQ052209784</t>
  </si>
  <si>
    <t>SAN DIEGO SECTOR BORDER PATROL WILL UTILIZE STORAGE CONTAINERS TO STORE INCOMING SHIPMENT OF ATAK DEVICES FOR AGENTS AND BODY CAMERA EQUIPMENT.</t>
  </si>
  <si>
    <t>2YTMDF52279855</t>
  </si>
  <si>
    <t>DHS/CBP PATROL CHULA VISTA (2YTMDF)</t>
  </si>
  <si>
    <t xml:space="preserve">
Sales Order #: 2272282752
RTD Screening Code: DOD
Reason for Rejection: Y9</t>
  </si>
  <si>
    <t>THE BELLA VISTA POLICE DEPARTMENT WOULD UTILIZE THIS MEDICAL EQUIPMENT FOR SWAT OPERATIONS, SEARCH AND RESCUE OPERATIONS, AND SEVERE WEATHER EVENTS. THIS EQUIPMENT WILL BE USED FOR LAW ENFORCEMENT PURPOSES ONLY.</t>
  </si>
  <si>
    <t>2YTA2S52279799</t>
  </si>
  <si>
    <t>THE PEA RIDGE POLICE DEPARTMENT WILL USE THIS VEHICLE FOR OUR GROWING BIKE AND HIKING TRAILS. OFTEN PEOPLE ARE HURT OR IN NEED OF POLICE DUE TO CRIME THAT OCCURS IN AN ISOLATED AREA AND THE POLICE DEPARTMENT NEEDS A MORE EFFECTIVE WAY TO RESPOND. THIS VEHICLE WILL BE USED FOR LAW ENFORCEMENT PURPOSES ONLY.</t>
  </si>
  <si>
    <t>2YTJGP52279907</t>
  </si>
  <si>
    <t>2YTKSE52209999</t>
  </si>
  <si>
    <t>2YTKSE52209998</t>
  </si>
  <si>
    <t>2YTKSE52200000</t>
  </si>
  <si>
    <t>SARDINIA POLICE DEPARTMENT IS REQUESTING COMMUNICATION RESOURCES TO PREPARED FOR EMERGENCY PREPAREDNESS. THESE COMMUNICATION DEVICES CAN BE ISSUED OUT TO PERSONNEL FOR EMERGENCY PREPAREDNESS. WITH LIMITED RESOURCES AND FUNDING, RECEIPT OF REQUESTED ITEMS WOULD REDUCE THE ADDITIONAL COST FOR SARDINIA POLICE DEPARTMENT TO PROVIDING RELIABLE AND EFFICIENT COMMUNICATION TO PERSONNEL IN CRITICAL SITUATIONS.</t>
  </si>
  <si>
    <t>CELLPHONE</t>
  </si>
  <si>
    <t>DSCELLPHO</t>
  </si>
  <si>
    <t>2YTKSE52270094</t>
  </si>
  <si>
    <t>REQUESTED BY MARLBORO CSO, FOR MARLBORO CSO DEPUTIES, FOR USE BY CERTIFIED DRONE OPERATORS DURING DRONE OPERATIONS.</t>
  </si>
  <si>
    <t>2YTHBS52270082</t>
  </si>
  <si>
    <t>REQUESTED BY THE MARLBORO CSO, FOR MARLBORO CSO DEPUTIES FOR USE DURING TRAINING PRESENTATIONS AND VIDEO REVIEWS.</t>
  </si>
  <si>
    <t>2YTHBS52270081</t>
  </si>
  <si>
    <t>THE DARLINGTON COUNTY SHERIFF'S OFFICE REQUEST THE TABLET TO USE FOR OUR INVESTIGATORS.  WE HAVE HAD ISSUES WITH LAPTOPS OUT IN THE FIELD.  A TABLET WOULD MAKE IT EASIER FOR INVESTIGATORS TO CARRY AROUND AND WORK CASES.  THIS WOULD BE A HUGE COST SAVINGS FOR US AS WELL.</t>
  </si>
  <si>
    <t>2YTC4Y52270069</t>
  </si>
  <si>
    <t>DARLINGTON COUNTY SHERIFF DEPT (2YTC4Y)</t>
  </si>
  <si>
    <t>TO CONDUCT TRAINING AND LAW ENFORCEMENT ACTIVITIES IN ACCORDANCE WITH THE LESO PROGRAM AND USMS POLICIES.</t>
  </si>
  <si>
    <t>2YTMVW52209379</t>
  </si>
  <si>
    <t>ONEONTA POLICE DEPARTMENT WILL USE THESE FOR FORCE ON FORCE TRAINING.  THIS WILL HELP OFFICERS LEARN TO USE THERE COVER AND HELP THEM TO BE MORE TACTICAL.</t>
  </si>
  <si>
    <t>2YT13U52209548</t>
  </si>
  <si>
    <t>THE CLARKE COUNTY SHERIFF'S OFFICE WOULD LIKE TO ACQUIRE THIS EQUIPMENT TO BE UTILIZED IN USE OF FORCE TRAINING FOR OUR OFFICERS, IN DIFFERENT SCENARIOS, SUCH AS ACTIVE SHOOTER, SHOOT DON'T SHOOT AND OTHER TRAINING UTILIZING SIMUNITION.</t>
  </si>
  <si>
    <t>2YTCFW52209536</t>
  </si>
  <si>
    <t xml:space="preserve">
Sales Order #: 2272813408
RTD Screening Code: DOD
Reason for Rejection: Y9</t>
  </si>
  <si>
    <t>SCOPE,NIGHT-POCKET</t>
  </si>
  <si>
    <t>2YTQYX52279763</t>
  </si>
  <si>
    <t xml:space="preserve">
Sales Order #: 2272282797
RTD Screening Code: DOD
Reason for Rejection: Y9</t>
  </si>
  <si>
    <t>THE CITY OF ALABASTER POLICE DEPARTMENT REQUESTS THIS PROPERTY FOR OFFICIAL USE, SPECIFICALLY AS A REPLACEMENT PART FOR A DAMAGED HYDRAULIC PUMP ON OUR M1078A1 LMTV HIGH WATER RESCUE VEHICLE.</t>
  </si>
  <si>
    <t>PUMPING UNIT,HYDRAU</t>
  </si>
  <si>
    <t>2YT09M52279764</t>
  </si>
  <si>
    <t>ALABASTER POLICE DEPT (2YT09M)</t>
  </si>
  <si>
    <t xml:space="preserve">
Sales Order #: 2272804855
RTD Screening Code: DOD
Reason for Rejection: Y9</t>
  </si>
  <si>
    <t>FOR USE BY ON DUTY OSD OFFICERS. INTENDED TO REPLACE SEVERAL AGING FIRE BLANKETS WITHIN THE AGENCY. TO BE DEPLOYED IN THE MAINTENANCE SHOP TO ASSIST WITH PUTTING OUT SMALL FIRES FROM FUEL, WELDING OR CUTTING TORCHES, AND TO DEPLOY ALONG SIDE PORTABLE GENERATORS TO ASSIST WITH SMOTHERING SMALL FUEL FIRES.</t>
  </si>
  <si>
    <t>2YT1WK52279838</t>
  </si>
  <si>
    <t xml:space="preserve">
Sales Order #: 2273286986
RTD Screening Code: DOD
Reason for Rejection: Y9</t>
  </si>
  <si>
    <t>LOCHBUIE PD IS A SMALL AGENCY WITH A LIMITED BUDGET. THESE TOOLBOXES WILL HELP PROVIDE OUR OFFICERS WITH A PLACE TO SAFELY SECURE THEIR EQUIPMENT. WE WOULD USE THEM DAILY IN OUR POLICE DEPARTMENT</t>
  </si>
  <si>
    <t>2YTGVE52279822</t>
  </si>
  <si>
    <t xml:space="preserve">
Sales Order #: 2268459463
RTD Screening Code: DOD
Reason for Rejection: Y9</t>
  </si>
  <si>
    <t>THE TEHAMA COUNTY SHERIFF'S OFFICE WILL USE SHELTER, FIRE, M2002 AS ISSUED SAFETY EQUIPMENT TO DEPUTIES ASSIGNED FIRE EVACUATION AND FIRE PATROLS DURING FIRE EVENTS.</t>
  </si>
  <si>
    <t>SHELTER,FIRE,M2002</t>
  </si>
  <si>
    <t>2YTLQ752279928</t>
  </si>
  <si>
    <t xml:space="preserve">
Sales Order #: 2273369720
RTD Screening Code: DOD
Reason for Rejection: Y9</t>
  </si>
  <si>
    <t>FOR USE BY REQUESTING AGENCY.  TO BE USED AT MONTESANO POLICE DEPARTMENT</t>
  </si>
  <si>
    <t>PEN,MULTIFUNCTION</t>
  </si>
  <si>
    <t>2YTHYA52279965</t>
  </si>
  <si>
    <t xml:space="preserve">
Sales Order #: 2268459458
RTD Screening Code: DOD
Reason for Rejection: Y9</t>
  </si>
  <si>
    <t>THE PAINTERS DROPCLOTH WILL BE USED BY THE ARP POLICE DEPARTMENT FOR LAW ENFORCEMENT PURPOSES ONLY. THE DROPCLOTH WILL BE USED BY OFFICERS WHEN REPAINTING OFFICE SPACES TO PROTECT THE FLOOR, DESKS AND OTHER EQUIPMENT FROM PAINT SPLATTER.</t>
  </si>
  <si>
    <t>DROPCLOTH,PAINTERS</t>
  </si>
  <si>
    <t>2YTANX52279888</t>
  </si>
  <si>
    <t xml:space="preserve">
Sales Order #: 2273369724
RTD Screening Code: DOD
Reason for Rejection: Y9</t>
  </si>
  <si>
    <t>FOR USE BY REQUESTING AGENCY. WILL BE ISSUED TO OFFICERS FOR GENERAL CLEANING OF LAW ENFORCEMENT EQUIPMENT AT MONTESANO POLICE DEPARTMENT.</t>
  </si>
  <si>
    <t>2YTHYA52279991</t>
  </si>
  <si>
    <t xml:space="preserve">
Sales Order #: 2273582784
RTD Screening Code: DOD
Reason for Rejection: Y9</t>
  </si>
  <si>
    <t>LEVEL PLAINS POLICE DEPT WILL USE TO HAUL POLICE PROPERTY AND LARGE 1033 ITEMS WHICH ARE AWARDED</t>
  </si>
  <si>
    <t>2YTRNR52209972</t>
  </si>
  <si>
    <t>THE SHERIDAN POLICE DEPARTMENT IS REQUESTING THE LENSES TO USE FOR MOBILE INCIDENT COMMAND, DRONE OPERATIONS, AND TRAINING TO ASSIST WITH ACTIVE SHOOTER, COUNTER DRUG, AND COUNTER TERRORISM OPERATIONS.  THE EQUIPMENT WILL BE USED FOR LAW ENFORCEMENT PURPOSES ONLY.</t>
  </si>
  <si>
    <t>2YTK1452200010</t>
  </si>
  <si>
    <t>FEDERAL SCREENER FOR DIVISION WITH 200 LAW ENFORCEMENT AGENTS TO INCLUDE 19 SWAT OPERATORS.  FBI JURISDICTION FOR ALL OF NORTH CAROLINA. MULTI PURPOSE USE FOR SURVEILLANCE, SUBJECT IDENTIFICATION, SEARCHES, FUGITIVE HUNTS, AND MISSING CHILDREN.  CAN BE USED BY BOTH SWAT AND FIELD AGENTS.  DIVISION IS IN CRITICAL NEED AS WE HAVE NO CAPABILITY TO TAKE PICTURES AT NIGHT AND HAVE NONE IN INVENTORY.  I HAVE CONTACTED THE SITE AND CONFIRM AND ACCEPT THE CONDITION CODE OF THE ITEMS.</t>
  </si>
  <si>
    <t>2YTQY152200072</t>
  </si>
  <si>
    <t>2YTKSE52200090</t>
  </si>
  <si>
    <t>FOR USE BY REQUESTING AGENCY.  VERIFIED CONDITION CODE WITH POC ERIC MARSHALL - DLA DS COLUMBUS. ILLUMINATOR WILL BE ISSUED TO MONTESANO POLICE DEPARTMENT LAW ENFORCEMENT OFFICER FOR PATROL AND SWAT USE.  WILL BE UTILIZED ON THE PATROL RIFLE ASSIGNED TO SAME OFFICER.</t>
  </si>
  <si>
    <t>2YTHYA52200087</t>
  </si>
  <si>
    <t xml:space="preserve">
Sales Order #: 2266146231
Reason for Rejection: YH</t>
  </si>
  <si>
    <t>FREDERICK COUNTY SHERIFF'S OFFICE A LESO AGENCY THAT CAN USE THESE ITEMS TO ASSIGN TO OFFICERS ON THE SEARCH AND RESCUE TEAM TO PROTECT THEM FROM DEHYDRATION DURING CALLS FOR SERVICE FOR MISSING , DESPONDENT, INJURED PERSONS, OR DOWNED AIRCRAFT IN OPEN COUNTRY AND MOUNTAINOUS TERRAIN OR DURING SEARCH MISSION FOR EVIDENCE FROM CRIMES SCRETED IN THE SAME TERRAIN.</t>
  </si>
  <si>
    <t>2YTEBY51010670</t>
  </si>
  <si>
    <t xml:space="preserve">
Sales Order #: 2266314155
Reason for Rejection: YH</t>
  </si>
  <si>
    <t>TO BE USED BY THE NOKOMIS POLICE DEPARTMENT IN PATROL VEHICLES FOR BOTH MAGNIFICATION AND TO PRECISELY AND ACCURATELY ENFORCE TRAFFIC LAWS. FOR EXAMPLE, TURN SIGNALS MUST BE ACTIVATED 100FT IN ADVANCE OF TURNING WHICH IS HARD TO ACCURATELY ASSESS WITHOUT PRE-MEASURING THE INTERSECTION.</t>
  </si>
  <si>
    <t>2YT1MW51080995</t>
  </si>
  <si>
    <t xml:space="preserve">
Sales Order #: 2267011807
RTD Screening Code: DOD
Reason for Rejection: YH</t>
  </si>
  <si>
    <t>FREDERICK COUNTY SHERIFF'S OFFICE A LESO AGENCY THAT CAN USE THESE MEDICAL DRESSING TO BE ISSUED TO OFFICERS TRAINED FOR SEARCH AND RESCUE RESPONSE FOR MISSING, DESPONDENT, INJURED PERSONS, OR DOWNED AIRCRAFT IN OPEN COUNTY OR MOUNTAINOUS TERRAIN.</t>
  </si>
  <si>
    <t>DRESSING,OCCLUSIVE,</t>
  </si>
  <si>
    <t>2YTEBY51221937</t>
  </si>
  <si>
    <t xml:space="preserve">
Sales Order #: 2264176034
RTD Screening Code: DOD
Reason for Rejection: YH</t>
  </si>
  <si>
    <t>2YTEBY51221935</t>
  </si>
  <si>
    <t xml:space="preserve">
Sales Order #: 2267040617
RTD Screening Code: DOD
Reason for Rejection: YH</t>
  </si>
  <si>
    <t>FREDERICK COUNTY SHERIFF'S OFFICE A LESO AGENCY THAT CAN US THESE BODY BAGS FOR CALLS FOR SERVICE FOR DEATH SCENES AND ALSO SEARCH AND RESCUE OR DIVE TEAM BODY RECOVERIES  SECRETED IN BODIES OF WATER OR IN OPEN COUNTRY OR MOUNTAINOUS TERRAIN.</t>
  </si>
  <si>
    <t>MEMORIALS; CEMETERIAL AND MORTUARY</t>
  </si>
  <si>
    <t>DSMEMORIA</t>
  </si>
  <si>
    <t>2YTEBY51221932</t>
  </si>
  <si>
    <t xml:space="preserve">
Sales Order #: 2270472736
RTD Screening Code: DOD
Reason for Rejection: YG</t>
  </si>
  <si>
    <t>THIS ITEM WILL BE USED BY THE KNOX COUNTY SHERIFFS OFFICE AVIATION UNIT TO SUPPORT OUR LESO AIRCRAFT</t>
  </si>
  <si>
    <t>GENERATOR,DIRECT CU</t>
  </si>
  <si>
    <t>2YTF9452066991</t>
  </si>
  <si>
    <t xml:space="preserve">
Sales Order #: 2270085891
RTD Screening Code: GSA
Reason for Rejection: YG</t>
  </si>
  <si>
    <t>2YTHYN52057783</t>
  </si>
  <si>
    <t xml:space="preserve">
Sales Order #: 2272740131
RTD Screening Code: DOD
Reason for Rejection: Z2</t>
  </si>
  <si>
    <t>WASHINGTON COUNTY SHERIFF'S OFFICE IS REQUESTS THIS PROPERTY TO BE UTILIZED BY SWORN LAW ENFORCEMENT PERSONNEL AS A MOBILE COMMAND CENTER DURING LAW ENFORCEMENT RELATED EMERGENCIES. CURRENTLY OUR AGENCY IS IN POSSESSION OF A TRAILER MOBILE POWER GENERATOR SYSTEM THAT WAS ISSUED THROUGH THE 1033 PROGRAM. THIS GENERATOR SYSTEM IS NEEDED TO BE UTILIZED IN CONJUNCTION WITH A MOBILE COMMAND CENTER TO PROVIDE UNINTERRUPTED PUBLIC SAFETY OPERATIONS IN THE TIME OF EMERGENCIES TO OUR RURAL COMMUNITY.</t>
  </si>
  <si>
    <t>2YTM9Q52209211</t>
  </si>
  <si>
    <t xml:space="preserve">
Sales Order #: 2272740133
RTD Screening Code: DOD
Reason for Rejection: Z2</t>
  </si>
  <si>
    <t>WASHINGTON COUNTY SHERIFF'S OFFICE IS A LAW ENFORCEMENT AGENCY IN THE STATE OF VIRGINIA. OUR AGENCY COULD USE THIS FORD SUV FOR PATROLING AND PRISIONER TRANSPORTS. THIS VEHICLE WILL BE USE BY LAW ENFORCEMENT PERSONNEL.</t>
  </si>
  <si>
    <t>2YTM9Q52209205</t>
  </si>
  <si>
    <t xml:space="preserve">
Sales Order #: 2272566508
RTD Screening Code: DOD
Reason for Rejection: Z2</t>
  </si>
  <si>
    <t>WASHINGTON COUNTY SHERIFF'S OFFICE IS A LAW ENFORCEMENT AGENCY IN THE STATE OF VIRGINIA. OUR AGENCY COULD USE THESE ATV FOR OFF ROAD PATROLING IN OUR 600 MILES OF COUNTY. THESE ATV WILL BE USE BY LAW ENFORCEMENT PERSONNEL.</t>
  </si>
  <si>
    <t>2YTM9Q52209199</t>
  </si>
  <si>
    <t xml:space="preserve">
Sales Order #: 2272740127
RTD Screening Code: DOD
Reason for Rejection: Z2</t>
  </si>
  <si>
    <t>RCSO NEEDS THIS EQUIPMENT FOR SURVEILLANCE AND UNDERCOVER OPERATIONS.  THE EQUIPMENT IS LARGE ENOUGH TO ACCOMMODATE 5 OFFICERS IN FULL PROTECTIVE GEAR WITH ROOM FOR ADDITIONAL OPERATIONAL SUPPORT EQUIPMENT.</t>
  </si>
  <si>
    <t>2YTJ7852209231</t>
  </si>
  <si>
    <t xml:space="preserve">
Sales Order #: 2272707180
RTD Screening Code: DOD
Reason for Rejection: Z2</t>
  </si>
  <si>
    <t>THE PIEDMONT POLICE DEPARTMENT WOULD UTILIZE THIS EQUIPMENT TO CONDUCT SEARCH AND RESCUE EFFORTS IN RURAL AREAS OF ITS JURISDICTION AND NEIGHBORING AREAS THAT REQUEST ASSISTANCE. THIS EQUIPMENT WOULD ALSO BE UTILIZED IN COMMUNITY OUTREACH AND EVENTS. THIS EQUIPMENT WOULD GREATLY BENEFIT THE COMMUNITY IT SERVES AND PROVIDE AN ADDITIONAL TOOL MAKING THE DEPARTMENT MORE EFFICIENT AND EFFECTIVE.</t>
  </si>
  <si>
    <t>2YTJMH52209234</t>
  </si>
  <si>
    <t xml:space="preserve">
Sales Order #: 2272566506
RTD Screening Code: DOD
Reason for Rejection: Z2</t>
  </si>
  <si>
    <t>TO BE USED BY OFFICERS WITH THE MAYSVILLE POLICE DEPARTMENT FOR OFF ROAD RESCUES, SEARCHES AND RECOVERIES.  ALSO TO BE USED BY OFFICERS DURING INCLEMENT WEATHER CONDITIONS TO GO WHERE OUR PATROL CARS WILL NOT GO. TO USE DURING TOWN EVENTS BY OUR OFFICERS.</t>
  </si>
  <si>
    <t>2YTHFN52209257</t>
  </si>
  <si>
    <t xml:space="preserve">
Sales Order #: 2272707190
RTD Screening Code: DOD
Reason for Rejection: Z2</t>
  </si>
  <si>
    <t>THIS WOULD ASSIST THE KINSEY POLICE DEPARTMENT IN WORKING SURVEILLANCE OFF ROAD AND CONDUCTING SECURITY AT TOWN EVENTS . WE COULD ALSO USE THIS SAVING LIVES OFF ROAD IF CALL OF SERVICE COMES. THIS ALSO WOULD BE USED AT OUR FIRING RANGE. IT WOULD ASSIST THE POLICE DEPARTMENT WHEN DISASTERS ARISE TO BE ABLE TO GET TO CIVILIANS DURING DISASTERS WHEN TREES ARE DOWN TO CONDUCT FIRST AID</t>
  </si>
  <si>
    <t>2YTRAR52209220</t>
  </si>
  <si>
    <t xml:space="preserve">
Sales Order #: 2269141404
RTD Screening Code: DOD
Reason for Rejection: Z2</t>
  </si>
  <si>
    <t>THE HOWELL COUNTY SHERIFF'S OFFICE IS A LAW ENFORCEMENT AGENCY. HCSO WILL THIS VEHICLE FOR A K9 UNIT AND PATROL USE AND RESPONSE TO EMERGENCIES SUCH AS NATURAL DISASTERS, MISSING PERSONS, MANHUNTS. CRIME SCENES AND OTHER EMERGENCY SITUATIONS AS THEY ARISE. HCSO PATROLS 926 SQ MILES OF VERY RURAL??ROUGH TERRAIN. IN ADDITION, HCSO ALREADY HAS THE CORRECT LE EQUIPMENT TO TRANSFER OVER TO THIS TRUCK TO OUTFIT IT AS A K9 UNIT.</t>
  </si>
  <si>
    <t>2YTFKX52209222</t>
  </si>
  <si>
    <t xml:space="preserve">
Sales Order #: 2272393956
RTD Screening Code: DOD
Reason for Rejection: Z2</t>
  </si>
  <si>
    <t>THE HOWELL COUNTY SHERIFF'S OFFICE IS A LAW ENFORCEMENT AGENCY.??THESE VEHICLES WOULD FILL A NEED FOR OFF ROAD TRANSPORTATION DURING EMERGENCIES LIKE NATURAL DISASTERS, MISSING PERSONS CASES, FUGITIVE APPREHENSION, AND OTHER CRISES. HCSO PATROLS A 928 SQUARE MILE AREA INCLUDING OVER 50,000 ACRES OF US FORREST SERVICE LAND. THESE VEHICLES WOULD ENHANCE HCSO'S CAPABILITIES AND BENEFIT NOT ONLY HOWELL COUNTY BUT ALSO SURROUNDING AREAS RELYING ON HCSO FOR MUTUAL AID IN EMERGENCY RESPONSE.</t>
  </si>
  <si>
    <t>2YTFKX52209215</t>
  </si>
  <si>
    <t xml:space="preserve">
Sales Order #: 2269141406
RTD Screening Code: DOD
Reason for Rejection: Z2</t>
  </si>
  <si>
    <t xml:space="preserve">
THE HOWELL COUNTY SHERIFF'S OFFICE IS A LAW ENFORCEMENT AGENCY. THE REQUESTED VAN WOULD BE UTILIZED FOR TRANSPORTATION OF INMATES. HCSO TRANSPORTS INMATES ON A DAILY BASIS FOR A MULTITUDE OF REASONS INCLUDING COURT APPEARANCES, FACILITY TRANSFERS, MEDICAL AND MENTAL HEALTH APPOINTMENTS AS WELL AS TRANSFERS TO THE DEPARTMENT OF CORRECTIONS. THIS VAN WILL REPLACE A SIMILAR VAN IN NEED OF SIGNIFICANT REPAIRS. WE WOULD BE ABLE TO TRANSFER ALL PRISONER EQUIPMENT TO THIS VAN.</t>
  </si>
  <si>
    <t>2YTFKX52209198</t>
  </si>
  <si>
    <t xml:space="preserve">
Sales Order #: 2272671876
RTD Screening Code: DOD
Reason for Rejection: Z2</t>
  </si>
  <si>
    <t>THIS TRAILER WOULD BE USED FOR THE POLICE DEPARTMENT AND POLICE OFFICERS FOR INCIDENT RESPONSE AND EMERGENCY OPERATIONS.  NO POLICE DEPARTMENT IN OUR AREA HAS A COMMAND TRAILER LIKE THIS RESOURCE SO IT WOULD PROVIDE A RESOURCE WE DO NOT CURRENTLY HAVE ACCESS TO CURRENTLY.</t>
  </si>
  <si>
    <t>2YTC8P52209224</t>
  </si>
  <si>
    <t xml:space="preserve">
Sales Order #: 2272707181
RTD Screening Code: DOD
Reason for Rejection: Z2</t>
  </si>
  <si>
    <t>DALE COUNTY SHERIFF'S OFFICE IS REQUESTING THIS TRAILER FOR OUR DEPUTIES TO USE FOR TRANSPORTING EQUIPMENT TO AND FROM CRIME SCENES, CRITICAL INCIDENTS, AND TRANSPORTING EVIDENCE. THANK YOU</t>
  </si>
  <si>
    <t>2YTC2852209278</t>
  </si>
  <si>
    <t xml:space="preserve">
Sales Order #: 2269563398
RTD Screening Code: DOD
Reason for Rejection: Z2</t>
  </si>
  <si>
    <t>DALE COUNTY SHERIFF'S OFFICE IS REQUESTING THIS VEHICLE FOR OUR DEPUTIES TO USE ON PATROL, FOR INVESTIGATIONS AND DRUG INTERDICTION.</t>
  </si>
  <si>
    <t>2YTC2852209275</t>
  </si>
  <si>
    <t xml:space="preserve">
Sales Order #: 2272813310
RTD Screening Code: DOD
Reason for Rejection: Z2</t>
  </si>
  <si>
    <t>THIS LAW ENFORCEMENT AGENCY WOULD UTILIZE THIS ITEM FOR SURVEILLANCE OPERATIONS AND TRANSPORT OF EMERGENCY EQUIPMENT TO AND FROM CRITICAL INCIDENTS.  THIS ITEM WOULD BE USED BY SWORN LAW ENFORCEMENT UNITS.  THANK YOU FOR YOUR CONSIDERATION.</t>
  </si>
  <si>
    <t>2YTLQT52209360</t>
  </si>
  <si>
    <t xml:space="preserve">
Sales Order #: 2268978381
RTD Screening Code: DOD
Reason for Rejection: YG</t>
  </si>
  <si>
    <t>THIS WILL BE ISSUED TO ALL DEPUTIES WITH IN THE OPERATIONS DIVISION SO THAT THEY CAN PROVIDE LIVE SAVING CARE TO VICTIMS OF CRIME AS WELL AS TRAFFIC ACCIDENTS PRIOR TO EMS ARRIVING</t>
  </si>
  <si>
    <t>REPLENISHABLE FIELD MEDICAL SETS, KITS</t>
  </si>
  <si>
    <t>DSMEDSETK</t>
  </si>
  <si>
    <t>2YTLK552209404</t>
  </si>
  <si>
    <t xml:space="preserve">
Sales Order #: 2268978383
RTD Screening Code: DOD
Reason for Rejection: Z2</t>
  </si>
  <si>
    <t>2YTLK552209401</t>
  </si>
  <si>
    <t xml:space="preserve">
Sales Order #: 2272393963
RTD Screening Code: DOD
Reason for Rejection: Z2</t>
  </si>
  <si>
    <t>THIS PROPERTY IS BEING REQUESTED BY A LAW ENFORCEMENT AGENCY FOR LAW ENFORCEMENT PURPOSES. THOSE PURPOSES INCLUDE BUT NOT LIMITED TO CRIME SCENE INVESTIGATION, INCIDENT COMMAND AND COMMUNITY EVENTS. THIS PROPERTY WILL FUNCTION AS A COMMAND-AND-CONTROL POINT IN LAW ENFORCEMENT OPERATIONS AND COMMUNITY EVENTS.</t>
  </si>
  <si>
    <t>2YTK5Z52209354</t>
  </si>
  <si>
    <t>SMYTH COUNTY SHERIFFS OFFICE (2YTK5Z)</t>
  </si>
  <si>
    <t xml:space="preserve">
Sales Order #: 2272393958
RTD Screening Code: DOD
Reason for Rejection: Z2</t>
  </si>
  <si>
    <t>THIS PROPERTY IS BEING REQUESTED BY A LAW ENFORCEMENT AGENCY FOR LAW ENFORCEMENT PURPOSES. THOSE PURPOSES INCLUDE BUT NOT LIMITED TO CRIME SCENE INVESTIGATION, INCIDENT COMMAND AND COMMUNITY EVENTS. THIS PROPERTY WILL FUNCTION AS A COMMAND AND CONTROL POINT IN LAW ENFORCEMENT OPERATIONS AND COMMUNITY EVENTS.</t>
  </si>
  <si>
    <t>2YTK5Z52209353</t>
  </si>
  <si>
    <t xml:space="preserve">
Sales Order #: 2272813320
RTD Screening Code: DOD
Reason for Rejection: Z2</t>
  </si>
  <si>
    <t>I HAVE CONTACTED THE SITE AND ACCEPT THE ITEM IN ITS CONDITION. THE SHERIFF'S OFFICE CAN UTILIZE THIS EQUIPMENT TO OUTFIT A SNIPER RIFLE WITH THE NIGHT TIME OPTICS TO BE ABLE TO RESPOND TO ANY NIGHT OPERATION TO INCLUDE HOSTAGE RESCUE</t>
  </si>
  <si>
    <t>2YTJKM52209411</t>
  </si>
  <si>
    <t xml:space="preserve">
Sales Order #: 2272671893
RTD Screening Code: DOD
Reason for Rejection: Z2</t>
  </si>
  <si>
    <t>THE PEA RIDGE POLICE DEPARTMENT WILL USE THIS ITEM AS A SEARCH AND RESCUE COMMAND TRAILER. THIS WILL ASSIST US IN LOCATING ENDANGERED PEOPLE AFTER A NATURAL DISASTER OR FOR MISSING PEOPLE UNDER SUSPICIOUS CIRCUMSTANCES. THIS ITEM WILL BE USED FOR LAW ENFORCEMENT PURPOSES ONLY.</t>
  </si>
  <si>
    <t>2YTJGP52209393</t>
  </si>
  <si>
    <t xml:space="preserve">
Sales Order #: 2248144701
RTD Screening Code: DOD
Reason for Rejection: Z2</t>
  </si>
  <si>
    <t>REQUESTED BY NORTH MYRTLE BEACH POLICE DEPARTMENT FOR USE BY NMB POLICE OFFICERS DURING HURRICANES, LARGE SCALE INCIDENTS-EVENTS AND OTHER NATURAL DISASTERS TO BE USED AS A PORTABLE LOCATION TO ESCAPE THE ELEMENTS.</t>
  </si>
  <si>
    <t>2YT1PG52209415</t>
  </si>
  <si>
    <t xml:space="preserve">
Sales Order #: 2269563394
RTD Screening Code: DOD
Reason for Rejection: Z2</t>
  </si>
  <si>
    <t>THE MARTIN COUNTY SHERIFFS OFFICE WOULD LIKE TO ACQUIRE THIS TRUCK TO BE USED FOR TRANSPORT OF OUR WATERCRAFT AND TO HAVE A VEHICLE THAT CAN STORE WATER RESCUE RELATED EQUIPMENT. THE TRUCK WILL ALSO BE USED DURING ANY DISASTER OR INCIDENT WHEN IT IS NEEDED.</t>
  </si>
  <si>
    <t>2YTHDE52209346</t>
  </si>
  <si>
    <t xml:space="preserve">
Sales Order #: 2269739676
RTD Screening Code: DOD
Reason for Rejection: Z2</t>
  </si>
  <si>
    <t>INTENDED TO BE ISSUED TO NEW OFFICERS ASSIGNED TO OUR SWAT TEAM. THIS EQUIPMENT WILL USED TO STORE ADDITIONAL GEAR WITHIN PATROL VEHICLES.
AGENCY IS AWARE OF CONDITION.</t>
  </si>
  <si>
    <t>2YTFXU52209350</t>
  </si>
  <si>
    <t xml:space="preserve">
Sales Order #: 2272707192
RTD Screening Code: DOD
Reason for Rejection: Z2</t>
  </si>
  <si>
    <t>THE HOWELL COUNTY SHERIFF'S OFFICE IS A LAW ENFORCEMENT AGENCY. HCSO WILL USE THIS TRUCK FOR??THE EMERGENCY MANAGEMENT DIRECTOR. THIS TRUCK WILL BE UTILIZED TO TOW TRAILERS FOR EMERGENCY RESPONSE. THESE TRAILERS INCLUDE A HAM RADIO COMMUNICATIONS TRAILER, TRAILERS WITH RESPONSE EQUIPMENT LIKE SKIDSTEERS AND SIDE BY SIDES AND A MOBILE COMMAND TRAILER ONCE IT IS ACQUIRED. HOWELL COUNTY IS CURRENTLY UNDER A FEDERAL DISASTER DECLARATION THIS TRAILER WOULD AID IN OUR CONTINUED RESPONSE EFFORTS.??</t>
  </si>
  <si>
    <t>2YTFKX52209324</t>
  </si>
  <si>
    <t xml:space="preserve">
Sales Order #: 2272707199
RTD Screening Code: DOD
Reason for Rejection: Z2</t>
  </si>
  <si>
    <t>THE FULTONDALE PD WILL ASSIGN THESE COMPUTERS TO OFFICERS TO USE DURING THEIR SHIFT FOR LAW ENFORCEMENT PURPOSES. WE NEED COMPUTERS AND DO NOT HAVE THE MONEY IN OUR BUDGET TO PURCHASE THEM.</t>
  </si>
  <si>
    <t>2YTEEJ52209347</t>
  </si>
  <si>
    <t xml:space="preserve">
Sales Order #: 2272813396
RTD Screening Code: DOD
Reason for Rejection: Z2</t>
  </si>
  <si>
    <t>2YTS0952209375</t>
  </si>
  <si>
    <t xml:space="preserve">
Sales Order #: 2272813318
RTD Screening Code: DOD
Reason for Rejection: Z2</t>
  </si>
  <si>
    <t>WE ARE A SMALL COMMUNITY BASED LAW ENFORCEMENT AGENCY AND WOULD UTILIZE THIS VEHICLE FOR INCLEMENT WEATHER DRUG AND GANG TASK FORCE PATROL UNIT. THIS VEHICLE WOULD ONLY BE USED BY SWORN LAW ENFORCEMENT OFFICERS.</t>
  </si>
  <si>
    <t>2YTPML52209326</t>
  </si>
  <si>
    <t xml:space="preserve">
Sales Order #: 2272340676
RTD Screening Code: DOD
Reason for Rejection: YG</t>
  </si>
  <si>
    <t>REPLENISHABLE MEDICAL SETS WILL BE USED TO ALLOW FULL TIME SWORN OFFICERS TO REPLENISH MEDICAL SUPPLIES WHEN NEEDED AFTER USING THEM TO TREAT VICTIMS OF TRAUMA.</t>
  </si>
  <si>
    <t>2YTPDD52209402</t>
  </si>
  <si>
    <t xml:space="preserve">
Sales Order #: 2269739673
RTD Screening Code: DOD
Reason for Rejection: Z2</t>
  </si>
  <si>
    <t>THE ASHE COUNTY SHERIFF'S OFFICE REQUEST THIS ITEM FOR USE DURING SEARCH AND RESCUE OPERATIONS. THIS TRAILER WILL B USED TO TRANSPORT EQUIPMENT AND AS A MOBILE COMMAND CENTER WHEN SEARCHING FOR LOST PEOPLE HERE IN THE MOUNTAINS.</t>
  </si>
  <si>
    <t>2YTA0F52209355</t>
  </si>
  <si>
    <t xml:space="preserve">
Sales Order #: 2272813335
RTD Screening Code: DOD
Reason for Rejection: YG</t>
  </si>
  <si>
    <t>REQUESTING AGENCY HAS CONFIRMED WITH THE DLA DS LOCATION REGARDING THE LISTED ITEM CONDITION AND IS SATISFIED THAT THE ITEM REQUESTED IS OF OPERATIONAL AND OR SERVICEABLE CONDITION. BATTERIES WILL BE USED BY AGENCY SWAT TEAM MEMBERS FOR POWERING ENHANCED COMMUNICATIONS SYSTEMS. THESE BATTERIES WILL PROVIDE CRUCIAL 2-WAY RADIO COMMUNICATION DURING HIGH RISK PUBLIC SAFETY EVENTS.</t>
  </si>
  <si>
    <t>2YTPUC52209459</t>
  </si>
  <si>
    <t xml:space="preserve">
Sales Order #: 2272813401
RTD Screening Code: DOD
Reason for Rejection: Z2</t>
  </si>
  <si>
    <t>TLETA SUPPORTS CITY, COUNTY, STATE, AND FEDERAL AGENCIES IN TRAINING. ACTIVE SHOOTER TRAINING AND SCHOOL RESOURCE OFFICER TRAINING ARE TWO OF OUR LARGEST TRAINING CLASSES THAT WE PUT ON.  THESE CONVERSION KITS WILL BE USED TO SUPPLEMENT THOSE TRAINING CLASSES AND OTHER CLASSES.</t>
  </si>
  <si>
    <t>2YTP3552209546</t>
  </si>
  <si>
    <t xml:space="preserve">
Sales Order #: 2272913414
RTD Screening Code: DOD
Reason for Rejection: Z2</t>
  </si>
  <si>
    <t>THESE BAGS WOULD PROVIDE A PRACTICAL SOLUTION FOR ORGANIZING AND SECURELY STORING GEAR, ENSURING QUICK AND EFFICIENT DEPLOYMENT DURING EMERGENCIES. WITH THE UNPREDICTABLE NATURE OF OUR OPERATIONS, HAVING WELL-ORGANIZED, ACCESSIBLE EQUIPMENT IS ESSENTIAL FOR OPERATIONAL READINESS.</t>
  </si>
  <si>
    <t>2YTFKS52209523</t>
  </si>
  <si>
    <t xml:space="preserve">
Sales Order #: 2272841484
RTD Screening Code: DOD
Reason for Rejection: YG</t>
  </si>
  <si>
    <t>TO BE ISSUED TO DEPUTIES FOR MEDICAL CARE</t>
  </si>
  <si>
    <t>2YT03F52209437</t>
  </si>
  <si>
    <t xml:space="preserve">
Sales Order #: 2273135928
RTD Screening Code: DOD
Reason for Rejection: Z2</t>
  </si>
  <si>
    <t>FOR USE BY THIS LEA ONLY. TO ASSIST IN TRAINING OFFICERS FOR TACTICS USED DURING PATROLS, COUNTER TERRORISM, ACTIVE SHOOTER INCIDENTS, AND OTHER HOMELAND SECURITY OPERATIONS. THESE ITEMS WILL INCREASE OUR TRAINING AND OPERATIONAL CAPABILITIES IN CRIMINAL INVESTIGATIONS AND FOR HOMELAND SECURITY INITIATIVES.</t>
  </si>
  <si>
    <t>2YTQKY52209616</t>
  </si>
  <si>
    <t>SOUTH HACKENSACK POLICE DEPARTMENT (2YTQKY)</t>
  </si>
  <si>
    <t xml:space="preserve">
Sales Order #: 2273215409
RTD Screening Code: DOD
Reason for Rejection: Z2</t>
  </si>
  <si>
    <t>PICKENS COUNTY SHERIFF'S OFFICE SPECIAL OPERATIONS SEARCH AND RESCUE TEAM. THE PURPOSE OF OBTAINING THESE ITEMS IS TO AID IN THE RECOVERY OF MISSING AND STRANDED INDIVIDUALS IN THE VAST MOUNTAIN RANGE WITHIN OUR COUNTY.</t>
  </si>
  <si>
    <t>2YTJL952209543</t>
  </si>
  <si>
    <t xml:space="preserve">
Sales Order #: 2273369716
RTD Screening Code: DOD
Reason for Rejection: Z2</t>
  </si>
  <si>
    <t>ITEM REQUESTED BY CLINTON PD TO BE USED BY CLINTON PD OFFICERS FOR SPECIAL RESPONSE AND OTHER EMERGENCY OPERATIONS</t>
  </si>
  <si>
    <t>2YTCJX52209607</t>
  </si>
  <si>
    <t xml:space="preserve">
Sales Order #: 2272813407
RTD Screening Code: DOD
Reason for Rejection: Z2</t>
  </si>
  <si>
    <t>2YTCJX52209606</t>
  </si>
  <si>
    <t xml:space="preserve">
Sales Order #: 2272951903
RTD Screening Code: DOD
Reason for Rejection: Z2</t>
  </si>
  <si>
    <t>THE BELLA VISTA POLICE DEPARTMENT WOULD UTILIZE THIS VEHICLE FOR MOVING EQUIPMENT AND TRANSPORTATION OF PERSONNEL. THIS EQUIPMENT WILL BE USED FOR LAW ENFORCEMENT PURPOSES ONLY.</t>
  </si>
  <si>
    <t>2YTA2S52209585</t>
  </si>
  <si>
    <t xml:space="preserve">
Sales Order #: 2270018623
RTD Screening Code: DOD
Reason for Rejection: Z2</t>
  </si>
  <si>
    <t>FOR USE BY THE MILTON POLICE DEPARTMENT SWAT TEAM CRISIS AND HOSTAGE NEGOTIATORS AND COMMAND PERSONNEL TO USE AS A MOBILE COMMAND CENTER DURING SWAT OPERATIONS. THIS WOULD HELP IMPROVE COORDINATION AND COMMUNICATION BETWEEN COMMAND ELEMENTS AS THEY CAN BE IN ONE PLACE.</t>
  </si>
  <si>
    <t>2YTHST52209633</t>
  </si>
  <si>
    <t xml:space="preserve">
Sales Order #: 2273135934
RTD Screening Code: DOD
Reason for Rejection: Z2</t>
  </si>
  <si>
    <t>IF ACQUIRED, THIS UNIT WOULD BE UTILIZED BY THE MASON COUNTY SHERIFF'S OFFICE FOR TRAINING PURPOSES. THESE UNITS WOULD BE A CRUCIAL TOOL FOR FIREARMS TRAINING.</t>
  </si>
  <si>
    <t>2YTHD952209622</t>
  </si>
  <si>
    <t xml:space="preserve">
Sales Order #: 2272946827
RTD Screening Code: DOD
Reason for Rejection: Z2</t>
  </si>
  <si>
    <t>WE ARE SMALL LOCAL LAW ENFORCEMENT AGENCY AND WOULD UTILIZE THESE ITEMS TO TRAIN OUR STAFF IN REAL LIFE SHOOTING TRAINING.THESE ITEMS WOULD ONLY BE USED BY SWORN LAW ENFORCEMENT PERSONNEL.</t>
  </si>
  <si>
    <t>2YTPML52209642</t>
  </si>
  <si>
    <t xml:space="preserve">
Sales Order #: 2273248642
RTD Screening Code: DOD
Reason for Rejection: Z2</t>
  </si>
  <si>
    <t>TLETA SUPPORTS TRAINING FOR CITY, COUNTY, STATE, AND FEDERAL AGENCIES.  CURRENTLY TLETA DRIVING TRACK IS NEED OF LOCKABLE STORAGE.  THESE CONTAINERS WILL REPLACE A CURRENT STORAGE SHED THAT IS FALLING APART.  THE CONTAINERS WILL BE USED BY OTHER AGENCIES TO STORE THEIR EQUIPMENT AS WELL.</t>
  </si>
  <si>
    <t>2YTP3552209858</t>
  </si>
  <si>
    <t xml:space="preserve">
Sales Order #: 2270769845
RTD Screening Code: DOD
Reason for Rejection: Z2</t>
  </si>
  <si>
    <t>SARDINIA POLICE DEPARTMENT POLICE VEHICLES ARE NOT COMPLETELY EQUIPPED WITH MOBILE DATE COMPUTERS TOUGHBOOK LAPTOPS RESOURCES.  WITH LIMITED AND NO ADDITIONAL TOUGHBOOK LAPTOPS FUNDING, RECEIPT OF THE REQUESTED WOULD REDUCE THE OCCURRED COST FOR SARDINIA POLICE DEPARTMENT. SARDINIA POLICE DEPARTMENT CONTACTED DLA AND ARE WILLING TO ACCEPT COMPUTERS IN THE CONDITION IN WHICH WE RECEIVE THEM.</t>
  </si>
  <si>
    <t>2YTKSE52209913</t>
  </si>
  <si>
    <t>FOR USE SOLELY BY THIS LAW ENFORCEMENT AGENCY ONLY.  THE VEHICLES WILL BE UTILIZED DURING LARGE OUTDOOR EVENTS IN THE TOWNSHIP, I.E. JULY 4TH CELEBRATIONS AND THE COUNTY FAIR.  USED ALSO BE FOR EMERGENCY RESPONSES ON NJ STATE GAME LANDS WITHIN THE TOWNSHIP NOT ACCESSIBLE BY PATROL VEHICLES.</t>
  </si>
  <si>
    <t>2YTDJC52340287</t>
  </si>
  <si>
    <t>EAST BRUNSWICK POLICE DEPT (2YTDJC)</t>
  </si>
  <si>
    <t xml:space="preserve">
Sales Order #: 2266782385
RTD Screening Code: DOD
Reason for Rejection: YG</t>
  </si>
  <si>
    <t>2YTDEX51151570</t>
  </si>
  <si>
    <t xml:space="preserve">
Sales Order #: 2267360744
RTD Screening Code: DOD
Reason for Rejection: YH</t>
  </si>
  <si>
    <t>CLAY COUNTY SHERIFF'S OFFICE NEEDS FOR FIRST ON SCENE RESPONSE DURING SEARCH AND RESCUE INCIDENTS.</t>
  </si>
  <si>
    <t>2YTCGY51292686</t>
  </si>
  <si>
    <t xml:space="preserve">
Sales Order #: 2268825592
RTD Screening Code: DOD
Reason for Rejection: YG</t>
  </si>
  <si>
    <t>THE BRADLEY POLICE DEPARTMENT IS RESPONSIBLE FOR PATROLLING OVER 7 SQUARE MILES WITH A GROWING POPULATION OF JUST UNDER 16,000 RESIDENTS.  THE AREA WE COVER CONSISTS OF RESIDENTIAL, FARMLAND, 170-ACRE PARK WITH WOODED LAND AND A RIVERFRONT, AND A LARGE COMMERCIAL HUB OF THE COUNTY.  WE PATROL A MASSIVE 16 FIELD TRAVEL BASEBALL OUTDOOR FACILITY AND HAVE BEGUN HOSTING HEAVILY ATTENDED CONCERTS IN AN OPEN AREA ENVIRONMENT.  THIS VEHICLE WILL ASSIST ACCESSING AREAS A PATROL VEHICLE CANNOT.</t>
  </si>
  <si>
    <t>2YTBGJ51575068</t>
  </si>
  <si>
    <t xml:space="preserve">
Sales Order #: 2268914806
RTD Screening Code: DOD
Reason for Rejection: YG</t>
  </si>
  <si>
    <t>2YTBGJ51575066</t>
  </si>
  <si>
    <t xml:space="preserve">
Sales Order #: 2269863021
RTD Screening Code: DOD
Reason for Rejection: YH</t>
  </si>
  <si>
    <t>THIS ITEM WOULD ASSIST THE KINSEY POLICE DEPARTMENT IN DIGGING TRENCHES AT THE FIRING RANGE SO THAT WE CAN RUN ELECTRICITY TO POWER POLES FOR LIGHTS AND TRANSFORMER. ALSO FOR TRENCHES WHERE WE ARE LAYING WIRE FOR CAMERAS SO THAT WE HAVE SECURITY AT ALL TIMES</t>
  </si>
  <si>
    <t>2YTRAR51716067</t>
  </si>
  <si>
    <t xml:space="preserve">
Sales Order #: 2272566488
RTD Screening Code: DOD
Reason for Rejection: YH</t>
  </si>
  <si>
    <t>PSP WILL USE THIS ITEM AT OUR MAIN VEHICLE PARKING LOT WHERE ALL INCOMING PSP VEHICLES ARE LOCATED TO MOVE EQUIPMENT AND PERSONNEL AROUND THE LARGE FENCED IN FACILITY</t>
  </si>
  <si>
    <t>2YTJA952209171</t>
  </si>
  <si>
    <t xml:space="preserve">
Sales Order #: 2273135910
RTD Screening Code: DOD
Reason for Rejection: Z2</t>
  </si>
  <si>
    <t>HELLO, THE MCDONALD COUNTY SHERIFFS OFFICE COULD USE THESE FOR BOTH RESCUE AND TACTICAL OPERATIONS. MCDONALD CO HAS A LARGE NUMBER OF BLUFFS AND RIVERS IN OUR AREA, WHERE BOTH HIGH AND LOW ANGLE ROPE RESCUE IS NEEDED. OUR TACTICAL TEAM COULD ALSO UTILIZE THIS EQUIPMENT WHERE OPERATIONS REQUIRE REPELLING. THANK YOU</t>
  </si>
  <si>
    <t>2YTHGS52209603</t>
  </si>
  <si>
    <t xml:space="preserve">
Sales Order #: 2272393987
RTD Screening Code: DOD
Reason for Rejection: Y9</t>
  </si>
  <si>
    <t>FOR USE BY REQUESTING AGENCY. INTENDED FOR OFFICE USE AT MONTESANO POLICE DEPARTMENT.</t>
  </si>
  <si>
    <t>PAD,WRITING PAPER</t>
  </si>
  <si>
    <t>2YTHYA52279953</t>
  </si>
  <si>
    <t xml:space="preserve">
Sales Order #: 2272913507
RTD Screening Code: DOD
Reason for Rejection: Y9</t>
  </si>
  <si>
    <t xml:space="preserve">TPD REQUEST THESE UTV'S FOR OUR OFFICERS TO USE DURING CROWD CONTROL, ANTI-TERRORISM OPERATIONS AT LARGE CROWD EVENTS SUCH AS UNIVERSITY OF ALABAMA SPORTING EVENTS WHERE THESE ARE EASIER TO MOVE THRU THE LARGE CROWD. THEY WILL ALSO BE USED IN SEARCH AND RESCUE AND SEVERE WEATHER EVENTS AS WELL.
</t>
  </si>
  <si>
    <t>2YTL1552340184</t>
  </si>
  <si>
    <t xml:space="preserve">
Sales Order #: 2272913497
RTD Screening Code: DOD
Reason for Rejection: Y9</t>
  </si>
  <si>
    <t>2YTL1552340183</t>
  </si>
  <si>
    <t xml:space="preserve">
Sales Order #: 2273391343
RTD Screening Code: DOD
Reason for Rejection: Y9</t>
  </si>
  <si>
    <t>PREPARATION FOR DISASTER RELIEF. TELLICO PLAINS POLICE DEPARTMENT WILL ASSUME COSTS AND EXPENSES, IF AWARDED.</t>
  </si>
  <si>
    <t>2YTLRG52340178</t>
  </si>
  <si>
    <t xml:space="preserve">
Sales Order #: 2273391329
RTD Screening Code: DOD
Reason for Rejection: Y9</t>
  </si>
  <si>
    <t>THE RCSO NEEDS THIS EQUIPMENT FOR SEARCH AND RESCUE OPERATIONS.  THE DESIRED EQUIPMENT WOULD ALSO BE UTILIZED FOR OFF GRID NARCOTIC GROW OPERATIONS.  THE EQUIPMENT IS NEEDED TO ACCESS THE CURRENT LACK OF OFF ROAD VEHICLES ABLE TO MANEUVER THE TERRAIN.</t>
  </si>
  <si>
    <t>2YTJ7852340145</t>
  </si>
  <si>
    <t xml:space="preserve">
Sales Order #: 2273391321
RTD Screening Code: DOD
Reason for Rejection: Y9</t>
  </si>
  <si>
    <t>REQUESTED BY NORTH MYRTLE BEACH POLICE DEPARTMENT TO BE USED BY NMB POLICE DEPARTMENT OFFICERS AND LIFEGUARDS TO PATROL THE 9 MILES OF BEACH WITHIN NMB JURISDICTION AND DURING HURRICANES, LARGE SCALE EVENTS AND OTHER NATURAL DISASTERS.</t>
  </si>
  <si>
    <t>2YT1PG52340110</t>
  </si>
  <si>
    <t xml:space="preserve">
Sales Order #: 2273391323
RTD Screening Code: DOD
Reason for Rejection: Y9</t>
  </si>
  <si>
    <t>2YT1PG52340107</t>
  </si>
  <si>
    <t xml:space="preserve">
Sales Order #: 2273391346
RTD Screening Code: DOD
Reason for Rejection: Y9</t>
  </si>
  <si>
    <t>THE MADISONVILLE POLICE DEPARTMENT IS REQUESTING THIS ATV FOR USE BY OUR OFFICERS. OUR DEPARTMENT IS LOCATED IN A HIGH METH RURAL MOUNTAINOUS AREA. THIS ATV WOULD GIVE OFFICERS ACCESS TO COMBAT THE METH PROBLEM IN THESE RURAL AREAS. DUE TO BUDGET CONSTRAINTS WE ARE CURRENTLY UNABLE TO PURCHASE MUCH NEEDED EQUIPMENT LIKE THIS ATV. THANKS</t>
  </si>
  <si>
    <t>2YTG5752340143</t>
  </si>
  <si>
    <t xml:space="preserve">
Sales Order #: 2273391324
RTD Screening Code: DOD
Reason for Rejection: Y9</t>
  </si>
  <si>
    <t>THE TLETA FIREARMS RANGE SUPPORTS CITY, COUNTY, STATE, AND FEDERAL  LAW ENFORCEMENT AGENCIES IN TRAINING.  THIS IS TO INCLUDE THE ICE, CBP, U.S. MARSHALLS, AND THE JOINT TERRORISM TASK FORCE NEAR THE NASHVILLE DISTRICT.  THIS UNIT WILL BE USED TO TRANSPORT AMMUNITION, EQUIPMENT, AND PERSONNEL TO AND FROM THE FIREARMS RANGE.  CURRENTLY AMMUNITION AND EQUIPMENT MUST BE CARRIED TO THE RANGE BY HAND.  THIS WILL ALLOW US TO USE OUR TIME MORE EFFICIENTLY.</t>
  </si>
  <si>
    <t>2YTP3552340101</t>
  </si>
  <si>
    <t xml:space="preserve">
Sales Order #: 2273391312
RTD Screening Code: DOD
Reason for Rejection: Y9</t>
  </si>
  <si>
    <t>ENCLOSED UTV'S WILL BE USED TO TRANSPORT OFFICERS OF THE GREENE COUNTY SHERIFFS OFFICE DURING A DISASTER OR MOUNTAIN RESCUE TO KEEP THEM OUT OF THE WEATHER. ALL OUR OTHER UTV'S ARE OPEN CAB AND EXPOSE THE OFFICERS TO THE WEATHER.</t>
  </si>
  <si>
    <t>2YTET652340204</t>
  </si>
  <si>
    <t xml:space="preserve">
Sales Order #: 2272913499
RTD Screening Code: DOD
Reason for Rejection: Y9</t>
  </si>
  <si>
    <t>DALE COUNTY SHERIFF'S OFFICE IS REQUESTING THESE ATVS FOR OUR DEPUTIES TO USE FOR RURAL PATROL, SEARCH AND RESCUE AND AVIATION GROUND SUPPORT.</t>
  </si>
  <si>
    <t>2YTC2852340162</t>
  </si>
  <si>
    <t xml:space="preserve">
Sales Order #: 2273307980
RTD Screening Code: DOD
Reason for Rejection: Y9</t>
  </si>
  <si>
    <t>THE UTV WILL BE USED BY THE ARP POLICE DEPARTMENT FOR LAW ENFORCEMENT PURPOSES. THE CITY OF ARP IS A FARMING COMMUNITY WITH LARGE TRACTS OF LAND. OFFICERS WILL UTILIZE THE UTV TO SEARCH FOR MISSING ELDERLY WITH DEMENTIA, MISSING CHILDREN AND SUSPECTS WHO HAVE EVADED. THE LAST 2 ATVS THAT ARP PD WERE AWARDED ARE UNABLE TO BE REPAIRED DO TO ENGINE AND TRANSMISSION PROBLEMS.</t>
  </si>
  <si>
    <t>2YTANX52340160</t>
  </si>
  <si>
    <t xml:space="preserve">
Sales Order #: 2273391367
RTD Screening Code: DOD
Reason for Rejection: Y9</t>
  </si>
  <si>
    <t>2YTANX52340159</t>
  </si>
  <si>
    <t xml:space="preserve">
Sales Order #: 2273391359
RTD Screening Code: DOD
Reason for Rejection: BQ</t>
  </si>
  <si>
    <t>THE GYM EQUIPMENT WILL BE USED BY THE ARP POLICE DEPARTMENT FOR LAW ENFORCEMENT PURPOSES ONLY. ARP PD HAS A HEALTH AND WELLNESS POLICY THAT ALLOWS OFFICERS TO WORKOUT ON DUTY.</t>
  </si>
  <si>
    <t>2YTANX52340148</t>
  </si>
  <si>
    <t xml:space="preserve">
Sales Order #: 2273391330
RTD Screening Code: DOD
Reason for Rejection: Y9</t>
  </si>
  <si>
    <t>GENERAL PURPOSE UTV FOR USE BY ECSO DEPUTIES TO PATROL HIGH PROFILE EVENTS SUCH AS NFL AND NHL GAMES</t>
  </si>
  <si>
    <t>2YTDTZ52340241</t>
  </si>
  <si>
    <t xml:space="preserve">
Sales Order #: 2273391361
RTD Screening Code: DOD
Reason for Rejection: Y9</t>
  </si>
  <si>
    <t>SAFFORD POLICE DEPARTMENT IS REQUESTING THIS LIGHT SET TO USE FOR CRIME SCENE INVESTIGATION AND MANAGEMENT. THESE WOULD ALSO BE USED FOR LIGHTING AT SPECIAL EVENTS. THESE WOULD BE VALUABLE AS WE ARE A RURAL AREA, AND WE WORK MANY CRIME SCENES WERE MORE LIGHTING IS NEEDED. OBTAINING THIS LIGHT SET WOULD BE VALUABLE TO MISSION SUCCESS.</t>
  </si>
  <si>
    <t>2YTKJN52340304</t>
  </si>
  <si>
    <t>SAFFORD POLICE DEPT (2YTKJN)</t>
  </si>
  <si>
    <t xml:space="preserve">
Sales Order #: 2273307970
RTD Screening Code: DOD
Reason for Rejection: Y9</t>
  </si>
  <si>
    <t>2YTKJN52340303</t>
  </si>
  <si>
    <t xml:space="preserve">
Sales Order #: 2273391369
RTD Screening Code: DOD
Reason for Rejection: Y9</t>
  </si>
  <si>
    <t>2YTKJN52340302</t>
  </si>
  <si>
    <t>THIS ALL TERRAIN VEHICLE, 4 WHEEL IS REQUESTED BY HOLLY HILL PD FOR USE BY HOLLY HILL PD OFFICERS FOR OFFICIAL EMERGENCIES SUCH AS BUT NOT LIMITED TO SEARCH AND RESCUE MISSIONS AND OFF ROAD FUGITIVE APPREHENSION.</t>
  </si>
  <si>
    <t>2YTRSD52340341</t>
  </si>
  <si>
    <t>EQUIPMENT WILL BE USED FOR TACTICAL OPERATIONS AND CALL OUTS.</t>
  </si>
  <si>
    <t>2YTFFB52340348</t>
  </si>
  <si>
    <t>HILLSVILLE POLICE DEPT (2YTFFB)</t>
  </si>
  <si>
    <t>USE BY RESCUE AND LE TEAMS FOR TRAINING FOR FIRST AID AND TEMS TO PRACTICE TREATING INJURED OFFICERS WITH THESE TRAINING VESTS.</t>
  </si>
  <si>
    <t>2YTMGW52340259</t>
  </si>
  <si>
    <t>2YTMGW52340258</t>
  </si>
  <si>
    <t>2YTMGW52340257</t>
  </si>
  <si>
    <t>2YTMGW52340256</t>
  </si>
  <si>
    <t xml:space="preserve">
Sales Order #: 2272728378
RTD Screening Code: DOD
Reason for Rejection: BQ</t>
  </si>
  <si>
    <t>AGENCY CHEROKEE COUNTY SHERIFF'S OFFICE NEEDS THIS EQUIPMENT FOR DISASTER RELATED EMERGENCY RESPONSE PREPAREDNESS AND SEARCH AND RESCUE OPERATIONS.</t>
  </si>
  <si>
    <t>2YTB9Y52340351</t>
  </si>
  <si>
    <t>CHEROKEE CSO (2YTB9Y)</t>
  </si>
  <si>
    <t>LAW ENFORCEMENT USE ONLY.  TO BE USED BY OFFICERS ASSIGNED TO THIS AGENCY TO CLEAN AND MAINTAIN THE PROPERTY AND ROADWAYS OF THIS AGENCY'S FIREARMS RANGE AND TRAINING AREAS.</t>
  </si>
  <si>
    <t>2YTPS752340400</t>
  </si>
  <si>
    <t>WEST MILFORD POLICE (2YTPS7)</t>
  </si>
  <si>
    <t xml:space="preserve">
Sales Order #: 2266507703
RTD Screening Code: DOD
Reason for Rejection: YH</t>
  </si>
  <si>
    <t>THE HOWELL COUNTY SHERIFF'S OFFICE IS A LAW ENFORCEMENT AGENCY. HCSO WILL USE THE REQUESTED TRUCK TO TRANSPORT CRITICAL SUPPLIES AND TOW EMERGENCY RESPONSE TRAILERS. THESE TRAILERS ARE SET UP WITH SUPPLIES AND EQUIPMENT TO RESPOND TO A MULTITUDE OF DIFFERENT NATURAL AND MAN-MADE DISASTERS. THESE INCLUDE FLOOD AND STORM DEBRIS REMOVAL EQUIPMENT, UTILITY VEHICLES, GENERATORS AND A MOBILE COMMAND POST TRAILER.</t>
  </si>
  <si>
    <t>2YTFKX51151486</t>
  </si>
  <si>
    <t xml:space="preserve">
Sales Order #: 2267108188
RTD Screening Code: DOD
Reason for Rejection: YH</t>
  </si>
  <si>
    <t>FOR USE BY LEA FOR OPTICAL SIGHTING AND RANGING.</t>
  </si>
  <si>
    <t>2YTMPA51363380</t>
  </si>
  <si>
    <t xml:space="preserve">
Sales Order #: 2268730855
RTD Screening Code: DOD
Reason for Rejection: YH</t>
  </si>
  <si>
    <t>THE VIRGINIA STATE POLICE REQUESTS THIS VEHICLE TO BE UTILIZED BY SWORN PERSONNEL FOR THE INSTALLATION OF SURVEILLANCE EQUIPMENT DURING CRIMINAL INVESTIGATIONS.</t>
  </si>
  <si>
    <t>2YTMXW51434758</t>
  </si>
  <si>
    <t xml:space="preserve">
Sales Order #: 2264202657
RTD Screening Code: DOD
Reason for Rejection: YH</t>
  </si>
  <si>
    <t>THE NORTHAMPTON COUNTY SHERIFF'S OFFICE, A LAW ENFORCEMENT AGENCY, REQUESTS THIS EQUIPMENT BE ISSUED TO OUR AGENCY.  THIS EQUIPMENT WILL BE ISSUED TO OUR NARCOTICS INVESTIGATORS FOR USE IN SURVEILLANCE OPERATIONS.  WE WILL ALSO USE IT IN CASES OF MISSING AND ENDANGERED CITIZEN SEARCH OPERATIONS.</t>
  </si>
  <si>
    <t>2YT1QG51645612</t>
  </si>
  <si>
    <t xml:space="preserve">
Sales Order #: 2258815571
RTD Screening Code: DOD
Reason for Rejection: YG</t>
  </si>
  <si>
    <t>I SEARCH THE RTD SITE FOR EQUIPMENT THAT COULD BENEFIT OUR DEPARTMENT IN OUR DAILY LAW ENFORCEMENT DUTIES. THIS VEHICLE WOULD BE ASSIGNED TO A SCHOOL RESOURCE OFFICER AND EQUIPPED TO DETER AN ACTIVE SHOOTER SITUATION AT ONE OF OUR SCHOOLS.</t>
  </si>
  <si>
    <t>2YTBJQ51645607</t>
  </si>
  <si>
    <t xml:space="preserve">
Sales Order #: 2271224137
RTD Screening Code: RTD2
Reason for Rejection: YG</t>
  </si>
  <si>
    <t>TPD REQUEST THIS MOTOR TO USE ON OUR FLAT BOTTOM BOAT USED BY OUR POLICE DIVE TEAM WHEN RESPONDING TO SEARCH AND RESCUE CALLS IN SMALL BODIES OF WATER.</t>
  </si>
  <si>
    <t>2YTL1551847790</t>
  </si>
  <si>
    <t xml:space="preserve">
Sales Order #: 2271224120
RTD Screening Code: RTD2
Reason for Rejection: YG</t>
  </si>
  <si>
    <t>2YTL1551847789</t>
  </si>
  <si>
    <t xml:space="preserve">
Sales Order #: 2272268720
RTD Screening Code: DOD
Reason for Rejection: YD</t>
  </si>
  <si>
    <t>THE MADISONVILLE POLICE DEPARTMENT IS REQUESTING THIS SCAFFOLDING FOR USE BY OUR OFFICERS. THIS SCAFFOLDING WOULD BE USED TO MAKE AN OBSERVATION PLATFORM AROUND OUR SHOOTING HOUSE AND TRAINING BUILDINGS. DUE TO BUDGET CONSTRAINTS WE ARE CURRENTLY UNABLE TO PURCHASE MUCH NEEDED EQUIPMENT LIKE THIS EQUIPMENT. THANKS</t>
  </si>
  <si>
    <t>LADDER, SCAFFOLDING EQUIP, CONCRETE FORM</t>
  </si>
  <si>
    <t>DSSCAFFOL</t>
  </si>
  <si>
    <t>2YTG5752068721</t>
  </si>
  <si>
    <t xml:space="preserve">
Sales Order #: 2272340670
RTD Screening Code: GSA
Reason for Rejection: YH</t>
  </si>
  <si>
    <t>THE MADISONVILLE POLICE DEPARTMENT IS REQUESTING THIS TRAILER FOR USE BY OUR OFFICERS. WE ARE PRIVILEGED TO HAVE A LARGE LAND AREA TRAINING CENTER WITH MULTIPLE RANGES. THIS TRAILER WOULD BE USED AS A MOBILE CLASSROOM AND WEATHER SHELTER FOR THESE RANGES. INFORMATION GATHERED FROM THE BASE IS THE TRAILER IS IN WORKING ORDER. DUE TO BUDGET CONSTRAINTS WE ARE CURRENTLY UNABLE TO PURCHASE MUCH NEEDED EQUIPMENT LIKE THIS UNIT. THANKS</t>
  </si>
  <si>
    <t>2YTG5752209195</t>
  </si>
  <si>
    <t xml:space="preserve">
Sales Order #: 2271728455
RTD Screening Code: DOD
Reason for Rejection: YH</t>
  </si>
  <si>
    <t>THIS WILL BE UTILIZED AT OUR TRAINING FACILITY TO TRANSPORT HEAVY EQUIPMENT FROM OUR DIFFERENT AREAS ACROSS THE LARGE WORKSITE TO BETTER FACILITATE TRAINING. THIS WILL ENSURE QUICKER AND MORE EFFICIENT POLICE TRAINING, FREEING PEOPLE TO RETURN TO PROACTIVE PATROL QUICKER AND INCREASING PUBLIC SAFETY</t>
  </si>
  <si>
    <t>2YTF7N52209396</t>
  </si>
  <si>
    <t xml:space="preserve">
Sales Order #: 2272813381
RTD Screening Code: DOD
Reason for Rejection: Y9</t>
  </si>
  <si>
    <t>THIS ASSET WOULD BENEFIT OUR AGENCY BY ALLOWING US TO MAKE THIS A MOBILE CLASSROOM  OR REST AND RECOVERY VEHICLE FOR SWAT TRAINING AS WELL AS UTILIZE IT TO PICK UP ITEMS FROM DIFFERENT LOCATIONS THAT EQUIPMENT AND INVENTORY IS NEEDED FOR THIS AGENCY . THIS COULD ALSO BE USED TO RESPOND TO AREAS OF NATURAL DISASTERS FOR OFFICERS TO SLEEP IN OR DISTRIBUTE AID OUT OF</t>
  </si>
  <si>
    <t>2YTS0852209480</t>
  </si>
  <si>
    <t xml:space="preserve">
Sales Order #: 2268459452
RTD Screening Code: DOD
Reason for Rejection: Z2</t>
  </si>
  <si>
    <t>TO USE AS VEHICLE COMPUTERS IN PATROL VEHICLES FOR A POLICE DEPT.</t>
  </si>
  <si>
    <t>2YTGHQ52209554</t>
  </si>
  <si>
    <t xml:space="preserve">
Sales Order #: 2273006228
RTD Screening Code: DOD
Reason for Rejection: YH</t>
  </si>
  <si>
    <t>THIS TELEVISION WILL BE PLACED IN OUR CLASSROOM AT THE ADVANCED TRAINING UNIT. THIS WILL ALLOW US TO CONDUCT VISUAL PRESENTATIONS IN OUR FINAL AUXILIARY CLASSROOM, ENHANCING POLICE LEARNING AND INCREASING PUBLIC SAFETY.</t>
  </si>
  <si>
    <t>MONITOR, TELEVISION</t>
  </si>
  <si>
    <t>DSMONIT01</t>
  </si>
  <si>
    <t>2YTF7N52139544</t>
  </si>
  <si>
    <t xml:space="preserve">
Sales Order #: 2272393994
RTD Screening Code: DOD
Reason for Rejection: Y9</t>
  </si>
  <si>
    <t>FOR USE BY REQUESTING AGENCY.  INTENDED FOR USE AT MONTESANO POLICE DEPARTMENT</t>
  </si>
  <si>
    <t>2YTHYA52279957</t>
  </si>
  <si>
    <t xml:space="preserve">
Sales Order #: 2269648103
RTD Screening Code: DOD
Reason for Rejection: Y9</t>
  </si>
  <si>
    <t>WASHINGTON COUNTY SHERIFF'S OFFICE IS A LAW ENFORCEMENT AGENCY IN THE STATE OF VIRGINIA. OUR AGENCY COULD USE THESE ATV'S FOR PATROLING OFF ROAD AND PATROLING OFF ROAD DURING SEARCHES. THESE ATV'S WILL BE USE BY LAW ENFORCEMENT PERSONNEL.</t>
  </si>
  <si>
    <t>2YTM9Q52340149</t>
  </si>
  <si>
    <t xml:space="preserve">
Sales Order #: 2269648097
RTD Screening Code: DOD
Reason for Rejection: Y9</t>
  </si>
  <si>
    <t>2YTM9Q52340147</t>
  </si>
  <si>
    <t xml:space="preserve">
Sales Order #: 2273770211
RTD Screening Code: DOD
Reason for Rejection: Y9</t>
  </si>
  <si>
    <t>2YTM9Q52340146</t>
  </si>
  <si>
    <t xml:space="preserve">
Sales Order #: 2272728365
RTD Screening Code: DOD
Reason for Rejection: Y9</t>
  </si>
  <si>
    <t>FOR OFFICIAL USE BY AGENCY, ORANGE POLICE DEPARTMENT ONLY. THE REQUESTED UTILITY VEHICLES WILL BE UTILIZED BY OFFICERS TO SUPPORT PLANNED CITY EVENTS AND EMERGENCY RESPONSE DURING DISASTER SITUATIONS. THESE VEHICLES ARE ESSENTIAL FOR RAPID DEPLOYMENT IN AREAS SUCH AS CITY PARKS WHERE TRADITIONAL VEHICLES CANNOT ACCESS DUE TO TERRAIN LIMITATIONS. ADDITIONALLY, THE ATVS WILL ASSIST WITH ACCESS CONTROL, EQUIPMENT TRANSPORTATION, AND ADDRESSING VULNERABILITIES IDENTIFIED DURING CRITICAL INCIDENTS.</t>
  </si>
  <si>
    <t>2YT15D52340121</t>
  </si>
  <si>
    <t xml:space="preserve">
Sales Order #: 2273770210
RTD Screening Code: DOD
Reason for Rejection: Y9</t>
  </si>
  <si>
    <t>THE POLICE DEPARTMENT REQUESTS AN ALL-TERRAIN VEHICLE FOR OFFICERS TO ACCESS REMOTE OR RUGGED AREAS DURING OPERATIONS AND SEARCH MISSIONS. THIS ENHANCES OFFICER SAFETY BY ENSURING RAPID AND SECURE MOBILITY IN CHALLENGING TERRAINS. THE ATV WILL BE USED EXCLUSIVELY BY OUR DEPARTMENT'S OFFICERS.</t>
  </si>
  <si>
    <t>2YTH3452340172</t>
  </si>
  <si>
    <t xml:space="preserve">
Sales Order #: 2273391337
RTD Screening Code: DOD
Reason for Rejection: Y9</t>
  </si>
  <si>
    <t>2YTDTZ52340242</t>
  </si>
  <si>
    <t xml:space="preserve">
Sales Order #: 2273391318
RTD Screening Code: DOD
Reason for Rejection: Y9</t>
  </si>
  <si>
    <t>2YTDTZ52340240</t>
  </si>
  <si>
    <t xml:space="preserve">
Sales Order #: 2272728377
RTD Screening Code: DOD
Reason for Rejection: Y9</t>
  </si>
  <si>
    <t>THIS ITEM WILL BE USED EXCLUSIVELY BY LEOS FROM THIS LEA. THIS ITEM WILL BE USED TO ASSIST OFFICERS RESPONDING TO CALLS FOR SERVICE ON THE BEACH WHICH INCLUDES MEDICAL CALLS, DISORDERLY PERSONS, MISSING PERSONS, AND SWIMMERS IN DISTRESS.</t>
  </si>
  <si>
    <t>2YTK2052340278</t>
  </si>
  <si>
    <t xml:space="preserve">
Sales Order #: 2272728371
RTD Screening Code: DOD
Reason for Rejection: Y9</t>
  </si>
  <si>
    <t>2YTK2052340277</t>
  </si>
  <si>
    <t xml:space="preserve">
Sales Order #: 2269648096
RTD Screening Code: DOD
Reason for Rejection: Y9</t>
  </si>
  <si>
    <t>TO PROVIDE THE MIDVILLE POLICE DEPARTMENT WITH A WORKING ATV FOR SEARCH AND RESCUE TACTICS WHILE DEALING WITH FLOODED RIVER DISASTERS.</t>
  </si>
  <si>
    <t>2YTHQD52340285</t>
  </si>
  <si>
    <t xml:space="preserve">
Sales Order #: 2269863024
RTD Screening Code: DOD
Reason for Rejection: YG</t>
  </si>
  <si>
    <t>THIS ITEM WOULD BE USED TO TRANSPORT WATER TO THE FIRING RANGE TO WATER THE GRASS THAT HAS BEEN PLANTED TO HELP IT GROW AND WHERE WE CAN TRAIN ON.</t>
  </si>
  <si>
    <t>2YTRAR51716057</t>
  </si>
  <si>
    <t xml:space="preserve">
Sales Order #: 2271445018
RTD Screening Code: DOD
Reason for Rejection: YH</t>
  </si>
  <si>
    <t>I AM FROM THE BOAZ POLICE DEPT IN BOAZ, ALABAMA. WE ARE BUILDING OUR OWN MECHANICS SHOP TO REPAIR, CHANGE FLUIDS, TIRES, AND MOTOR WORK TO OUR POLICE VEHICLES. WE HAVE A TWO BAY AND VERY LARGE GARAGE AND SHOP IN PLACE. IT IS EMPTY AND WE ARE STARTING FROM THE SCRATCH, IN THE PERFECT BUILDING FOR THIS PURPOSE. TOOL BOXES ARE THE BASIC NECESSITY FOR THIS VENTURE. OUR POLICE  DEPARTMENT AND CITY  ARE GROWING MY POLICE ADMINISTRATION IS MOTIVATED, AND TASK US WITH IT PUTTING IT ALL TOGETHER.</t>
  </si>
  <si>
    <t>2YTBCH51927903</t>
  </si>
  <si>
    <t xml:space="preserve">
Sales Order #: 2271116248
RTD Screening Code: DOD
Reason for Rejection: YH</t>
  </si>
  <si>
    <t>I HAVE CONTACTED THE SITE AND CONFIRMED CONDITION MEETS THE NEEDS FOR USE IN THE LRFO FOR AGENTS BOTH OPERATIONALLY AND TRAINING WITH NIGHT VISION ILLUMINATORS</t>
  </si>
  <si>
    <t>2YTMRY51927547</t>
  </si>
  <si>
    <t xml:space="preserve">
Sales Order #: 2271369113
RTD Screening Code: DOD
Reason for Rejection: YH</t>
  </si>
  <si>
    <t>THESE ITEMS WILL BE UTILIZED BY THE ONEIDA COUNTY SHERIFF'S OFFICE. THEY WILL BE ASSIGNED TO PERSONNEL OPERATING IN AND AROUND THE MANY BODIES OF WATER IN OUR JURISDICTION. THESE ITEMS WILL SUPPORT A VARIETY OF WATER OPERATIONS.</t>
  </si>
  <si>
    <t>2YT13N51997971</t>
  </si>
  <si>
    <t xml:space="preserve">
Sales Order #: 2271415642
RTD Screening Code: DOD
Reason for Rejection: YH</t>
  </si>
  <si>
    <t>THIS SHALL BE INSTALLED IN PRECINCT CONFERENCE ROOM AND USED FOR BRIEFINGS, TRAINING VIDEOS AND OTHER CONFERENCE PURPOSES DURING DUTY DAY AND ACCESSIBLE TO ALL COMMISSIONED AND NON COMMISSIONED PERSONNEL.</t>
  </si>
  <si>
    <t>2YTRVE51998230</t>
  </si>
  <si>
    <t xml:space="preserve">
Sales Order #: 2271794886
RTD Screening Code: DOD
Reason for Rejection: YH</t>
  </si>
  <si>
    <t>THE HEADLAND POLICE DEPARTMENT AND OFFICERS WOULD BENEFIT FROM THIS EQUIPMENT BY HAVING THE PROPER EQUIPMENT TO MAINTAIN AREAS OF NEED FOR THE OFFICERS TO DO THIER JOBS SAFELY</t>
  </si>
  <si>
    <t>2YTE9E52068416</t>
  </si>
  <si>
    <t xml:space="preserve">
Sales Order #: 2272566507
RTD Screening Code: DOD
Reason for Rejection: YG</t>
  </si>
  <si>
    <t>WILL BE USED FOR LAW ENFORCEMENT  BY LAW ENFORCEMENT.  WILL BE PLACED IN POLICE DEPARTMENT OFFICE TO STORE ITEMS IN</t>
  </si>
  <si>
    <t>2YTJXJ52119256</t>
  </si>
  <si>
    <t xml:space="preserve">
Sales Order #: 2270171084
RTD Screening Code: DOD
Reason for Rejection: YH</t>
  </si>
  <si>
    <t>2YTMDH52209446</t>
  </si>
  <si>
    <t xml:space="preserve">
Sales Order #: 2272823772
RTD Screening Code: DOD
Reason for Rejection: YH</t>
  </si>
  <si>
    <t>2YTMDH52209445</t>
  </si>
  <si>
    <t xml:space="preserve">
Sales Order #: 2272671892
RTD Screening Code: DOD
Reason for Rejection: YH</t>
  </si>
  <si>
    <t xml:space="preserve">THE CCPD IS REQUESTING THIS TRUCK.IT WILL BE USED IN BY CCPD FOR LAW ENFORCEMENT FOR OUR HELICOPTER UNIT.THE VEHICLE WILL BE USED DAILY TO STORE AND REFUEL HELICOPTERS FOR POLICE PATROL. IT IS DESPERATELY NEEDED TO REPLACE OUR CURRENT 1973TANKER. MAINT HAS STIPULATED THAT THE CURRENT VEHICLE IS UNFEASIBLE TO BE MAINTAINED DUE TO AGE, SAFETY AND HIGH MAINT COSTS.DUE TO BUDGET, REPAIR AND REPLACEMENT IS NOT FEASIBLE.THIS TRUCK WILL ENABLE THE CCPD TO CONTINUE SAFE AND CRITICAL LE OPERATIONS.
</t>
  </si>
  <si>
    <t>2YTCHK52209487</t>
  </si>
  <si>
    <t xml:space="preserve">
Sales Order #: 2273135909
RTD Screening Code: ACCM
Reason for Rejection: YH</t>
  </si>
  <si>
    <t>2YTJDK52209601</t>
  </si>
  <si>
    <t xml:space="preserve">
Sales Order #: 2272951895
RTD Screening Code: DOD
Reason for Rejection: YG</t>
  </si>
  <si>
    <t>THIS TOOL KIT WILL BE UTILIZED AT OUR EMERGENCY DRIVING FACILITY TO PROVIDE AMPLE ACCESS TO TOOLS IN ROUTINE MAINTENANCE OF OUR TRAINING VEHICLES. THIS WILL LEAD TO LESS DOWN TIME ON TRAINING VEHICLES, ENSURING BETTER TRAINING ON SAFE POLICE DRIVING, WHICH INCREASES PUBLIC SAFETY.</t>
  </si>
  <si>
    <t>2YTF7N52139615</t>
  </si>
  <si>
    <t xml:space="preserve">
Sales Order #: 2272946823
RTD Screening Code: DOD
Reason for Rejection: Y9</t>
  </si>
  <si>
    <t>2YTJA952279696</t>
  </si>
  <si>
    <t xml:space="preserve">
Sales Order #: 2272393989
RTD Screening Code: DOD
Reason for Rejection: Y9</t>
  </si>
  <si>
    <t>THESE BOOTS WILL BE GIVEN TO AGENTS WHO ARE MEMBERS OF OUR ESF 13 TEAM THAT DEPLOYS WITH FEMA TO DISASTER AREAS</t>
  </si>
  <si>
    <t>BOOTS, MEN'S, PAIR</t>
  </si>
  <si>
    <t>DSBOOTS01</t>
  </si>
  <si>
    <t>2YTSXU52279995</t>
  </si>
  <si>
    <t xml:space="preserve">
Sales Order #: 2273588451
RTD Screening Code: DOD
Reason for Rejection: Y9</t>
  </si>
  <si>
    <t>2YTKSE52270092</t>
  </si>
  <si>
    <t xml:space="preserve">
Sales Order #: 2273391338
RTD Screening Code: DOD
Reason for Rejection: Y9</t>
  </si>
  <si>
    <t>REQUESTED BY SCDPS TO BE USED BY SCDPS LAW ENFORCEMENT OFFICERS AS A STORAGE BAG FOR DUTY EQUIPMENT.</t>
  </si>
  <si>
    <t>BAG,INDIVIDUAL EQUIPMENT,CARRIER</t>
  </si>
  <si>
    <t>2YTKTF52340245</t>
  </si>
  <si>
    <t xml:space="preserve">
Sales Order #: 2273753380
RTD Screening Code: DOD
Reason for Rejection: Y9</t>
  </si>
  <si>
    <t xml:space="preserve">FOR USE BY LEA DURING CRITICAL SURVEILLANCE APPLICATIONS
</t>
  </si>
  <si>
    <t>2YTMPA52340218</t>
  </si>
  <si>
    <t xml:space="preserve">
Sales Order #: 2272728380
RTD Screening Code: DOD
Reason for Rejection: Y9</t>
  </si>
  <si>
    <t>THE TEHAMA COUNTY SHERIFF'S OFFICE WILL USE PAD, WRITING PAPER FOR DEPUTY USE FOR TAKING NOTES FOR CRIMINAL REPORTS AND TRAINING.</t>
  </si>
  <si>
    <t>2YTLQ752340349</t>
  </si>
  <si>
    <t>USE BY RESCUE AND LE TEAMS FOR HEARING PROTECTION IN THE FIELD AND FOR TRAINING AT THE RANGE. ALLOW FOR COMMUNICATION WITH OTHER TEAMMATES</t>
  </si>
  <si>
    <t>2YTMGW52340260</t>
  </si>
  <si>
    <t xml:space="preserve">
Sales Order #: 2273804112
RTD Screening Code: DOD
Reason for Rejection: Y9</t>
  </si>
  <si>
    <t>THE SHERIDAN POLICE DEPARTMENT WILL USE THIS CAMERA TO DOCUMENT CRIME SCENES OF NARCOTIC, TERRORISM, AND ACTIVE KILLER NEXUSES.  THIS CAMERA WILL BE USED TO DOCUMENT PHYSICAL EVIDENCE BEFORE IT IS BAGGED AND TAGGED BY DETECTIVES TO PROPERLY DOCUMENT A CRIME SCENE.  IT WILL ALSO BE USED TO PHOTOGRAPH FINGERPRINTS SINCE IT HAS THE FLASH SETUP NEEDED.  THIS WILL BE USED FOR LAW ENFORCEMENT PURPOSES ONLY.</t>
  </si>
  <si>
    <t>2YTK1452340414</t>
  </si>
  <si>
    <t xml:space="preserve">
Sales Order #: 2260526986
RTD Screening Code: DOD
Reason for Rejection: Y9</t>
  </si>
  <si>
    <t>FOR USE BY REQUESTING AGENCY.  WILL BE ISSUED TO PATROL OFFICERS - SWAT TEAM MEMBERS FOR RADIO COMMUNICATIONS DURING PATROL - SWAT OPERATIONS.  FOR LAW ENFORCEMENT USE. THESE HEADSETS ARE COMPATIBLE WITH THE MOTOROLA RADIOS ISSUED TO OUR OFFICERS.</t>
  </si>
  <si>
    <t>2YTHYA52340426</t>
  </si>
  <si>
    <t xml:space="preserve">
Sales Order #: 2267889152
RTD Screening Code: DOD
Reason for Rejection: Y9</t>
  </si>
  <si>
    <t>THIS CAMERA WILL BE USED BY PATROL OFFICERS TO TAKE PICTURES OF CRIME SCENE AS WELL AS USED TO TAKE PICTURES TO MAKE DRUG CASES.</t>
  </si>
  <si>
    <t>2YTHDF52340466</t>
  </si>
  <si>
    <t xml:space="preserve">
Sales Order #: 2267889162
RTD Screening Code: DOD
Reason for Rejection: Y9</t>
  </si>
  <si>
    <t>THESE HEADSETS WILL BE USED BY OUR SRT OPERATORS DURING OPERATIONS AND TRAINING TO PROVIDE AMPLIFIED HEARING PROTECTION WITH THE ABILITY TO COMMUNICATE CLEARLY ON OUR RADIOS.  
I HAVE CONTACTED THE BASE IN REFERENCE TO THE CONDITION AND WE ARE SATISFIED WITH THE CONDITION OF THE HEADSETS.</t>
  </si>
  <si>
    <t>2YTHDF52340465</t>
  </si>
  <si>
    <t xml:space="preserve">
Sales Order #: 2273970638
RTD Screening Code: DOD
Reason for Rejection: BQ</t>
  </si>
  <si>
    <t>TPD REQUEST THIS TRUCK TO CONVERT TO A CRIME SCENE RESPONSE TRUCK TO USE IN RESPONSE TO MAJOR CRIME SCENES SUCH AS TERRORIST AND MASS CASUALTY EVENTS.</t>
  </si>
  <si>
    <t>TRUCK,FIRE FIGHTING</t>
  </si>
  <si>
    <t>2YTL1552340496</t>
  </si>
  <si>
    <t>TO BE PLACED IN EVERY PATROL CAR TO PROVIDE FIRST AID TO VICTIMS UNTIL MORE ADVANCE MEDICAL PERSONNEL   ARRIVE</t>
  </si>
  <si>
    <t>2YTLK552340533</t>
  </si>
  <si>
    <t xml:space="preserve">
Sales Order #: 2271538666
RTD Screening Code: DOD
Reason for Rejection: YG</t>
  </si>
  <si>
    <t>THE TRAILER IS REQUIRED TO STORE AND DEPLOY SIGNS AND BARRICADES FOR CONTROLLING TRAFFIC AND NOTIFYING THE PUBLIC AROUND DISASTERS AND CRITICAL INCIDENTS. CRITICAL INCIDENTS INCLUDES BUT ISN'T LIMITED TO CRIME SCENES, ACCIDENTS, FIRES, EXPLOSIONS AND WEATHER EVENTS.</t>
  </si>
  <si>
    <t>2YTNFH51998206</t>
  </si>
  <si>
    <t xml:space="preserve">
Sales Order #: 2270093339
RTD Screening Code: DOD
Reason for Rejection: YH</t>
  </si>
  <si>
    <t>ITEM WILL BE USED BY THE ORANGE COUNTY SHERIFF'S DEPARTMENT FOR THE PURPOSE OF PLACEMENT INTO OUR MAIL ROOM. THE MACHINE WILL SCREEN INCOMING PACKAGES FOR SECURITY THREATS PRIOR TO OPENING.</t>
  </si>
  <si>
    <t>X-RAY SYSTEM,SECURITY,PORTABLE</t>
  </si>
  <si>
    <t>2YT14Z52138776</t>
  </si>
  <si>
    <t xml:space="preserve">
Sales Order #: 2272814502
RTD Screening Code: DOD
Reason for Rejection: YH</t>
  </si>
  <si>
    <t>TELESCOPE,NON-INVER</t>
  </si>
  <si>
    <t>2YTLK552209399</t>
  </si>
  <si>
    <t xml:space="preserve">
Sales Order #: 2268978382
RTD Screening Code: DOD
Reason for Rejection: YH</t>
  </si>
  <si>
    <t>2YTLK552209398</t>
  </si>
  <si>
    <t xml:space="preserve">
Sales Order #: 2272671880
RTD Screening Code: GSA
Reason for Rejection: Y9</t>
  </si>
  <si>
    <t>THE ELIZABETHTON POLICE DEPARTMENT NEEDS THIS TRAILER.  WE RECENTLY WERE AWARDED TWO MILITARY SURPLUS RAFTS THAT WILL ALLOW OUR DEPARTMENT TO PREPARE FOR WATER AND FLOOD RESCUE IN OUR CITY.  THIS TRAILER WILL BE PERFECT FOR STORING THE RAFTS IN A READY DEPLOYABLE STATE IN ORDER TO TAKE THEM FOR WATER INCIDENTS.</t>
  </si>
  <si>
    <t>2YTDP252209413</t>
  </si>
  <si>
    <t xml:space="preserve">
Sales Order #: 2272907948
RTD Screening Code: DOD
Reason for Rejection: Y9</t>
  </si>
  <si>
    <t>2YTLQ752209489</t>
  </si>
  <si>
    <t xml:space="preserve">
Sales Order #: 2269744967
RTD Screening Code: GSA
Reason for Rejection: Y9</t>
  </si>
  <si>
    <t>FOR DUPUTY USE IN CROWDS OR AREAS THAT THEY CANNOT FIT  A VEHICLE FOR PATROL ESPECIALLY DURING NATURAL DISASTERS. WILL ALSO BE USED AT TRAINING FACILITIES.</t>
  </si>
  <si>
    <t>2YTGK952209486</t>
  </si>
  <si>
    <t xml:space="preserve">
Sales Order #: 2269744959
RTD Screening Code: DOD
Reason for Rejection: Y9</t>
  </si>
  <si>
    <t>BODY BAGS, WILL BE USED BY SHERIFF'S OFFICE DEPUTIES TO AID IN THE RECOVERY OF HUMAN REMAINS.  SEARCH AND RESCUE AND MARINE UNIT.</t>
  </si>
  <si>
    <t>2YTF7N52209451</t>
  </si>
  <si>
    <t xml:space="preserve">
Sales Order #: 2272728338
RTD Screening Code: DOD
Reason for Rejection: Y9</t>
  </si>
  <si>
    <t>THIS RIFLE OPTIC WILL BE USED BY PATROL OFFICERS TO EXTEND THE EFFECTIVE RANGE OF THE PATROL RIFLE AS WELL AS WORK AS A DESIGNATED MARKSMAN RIFLE. 
I HAVE CONTACTED THE BASE AND WE ARE SATISFIED WITH THE CONDITION OF THE OPTIC.</t>
  </si>
  <si>
    <t>SIGHT UNIT</t>
  </si>
  <si>
    <t>2YTHDF52279746</t>
  </si>
  <si>
    <t xml:space="preserve">
Sales Order #: 2272728335
RTD Screening Code: GSA
Reason for Rejection: Y9</t>
  </si>
  <si>
    <t>GEORGIA DPS DIVE TEAM WOULD USE IN DIVING ACTIVITIES SUPPORTING LAW ENFORCEMENT OPERATIONS SUCH AS HOMICIDE VICTIM AND EVIDENCE RECOVERIES AS WELL AS COUNTER DRUG OPERATIONS. 21</t>
  </si>
  <si>
    <t>2YTEEW52209778</t>
  </si>
  <si>
    <t xml:space="preserve">
Sales Order #: 2272393986
RTD Screening Code: DOD
Reason for Rejection: Y9</t>
  </si>
  <si>
    <t>THIS BAG WILL BE ISSUED TO AN AGENT WHO IS A MEMBER OF OUR ESF 13 TEAM THAT DEPLOYS WITH FEMA</t>
  </si>
  <si>
    <t>2YTSXU52279926</t>
  </si>
  <si>
    <t xml:space="preserve">
Sales Order #: 2273391320
RTD Screening Code: DOD
Reason for Rejection: Y9</t>
  </si>
  <si>
    <t>RESCUE STRAP CUTTER REQUESTED BY ATLANTIC BEACH PD, FOR USE BY ATLANTIC BEACH PD OFFICERS TO ASSIST IN EXTRICATING INDIVIDUALS FROM VEHICLES INVOLVED IN MOTOR VEHICLE COLLISIONS.</t>
  </si>
  <si>
    <t>2YTQD952340181</t>
  </si>
  <si>
    <t xml:space="preserve">
Sales Order #: 2273391351
RTD Screening Code: DOD
Reason for Rejection: Y9</t>
  </si>
  <si>
    <t>REQUESTED BY SCDPS TO BE USED BY SCDPS LAW ENFORCEMENT OFFICERS ASSIGNED TO THE TRAINING UNIT AS A TEACHING TOOL FOR HANDCUFFING.</t>
  </si>
  <si>
    <t>2YTKTF52340234</t>
  </si>
  <si>
    <t xml:space="preserve">
Sales Order #: 2272394005
RTD Screening Code: DOD
Reason for Rejection: Y9</t>
  </si>
  <si>
    <t>FOR DEPUTIES TO USE FOR FILING REPORTS AND OTHER PAPERWORK THAT WILL BE USED TO PROSECUTE OFFENDERS.  FOR DEPUTIES TO STORE LAW ENFORCEMENT SUPPLIES THAT THEY NEED TO PERFORM THEIR DAILY DUTIES.  FOR DEPUTIES TO USE FOR COMPLETING REPORTS AND OTHER PAPERWORK.</t>
  </si>
  <si>
    <t>DESK,L-UNIT</t>
  </si>
  <si>
    <t>2YTGMZ52340568</t>
  </si>
  <si>
    <t xml:space="preserve">I HAVE CONTACTED THE FACILITY AND CONFIRMED AND WILL ACCEPT IN CURRENT CONDITION.  FEDERAL SCREENER FOR DIVISION WITH 200 LAW ENFORCEMENT AGENTS TO INCLUDE 19 SWAT OPERATORS.  THESE ALLOW SWAT OPERATORS NIGHT VISION CAPABILITIES WITH RIFLES OPTICS AND CAN BE USED BY THE WHOLE TEAM.  SWAT BUDGET IS LIMITED AND ARE COST PROHIBITIVE TO PURCHASE. THIS WILL MOUNT DIRECTLY TO OUR ISSUED PRECISION RIFLES.  THERE ARE CURRENTLY NONE IN INVENTORY.  
</t>
  </si>
  <si>
    <t>2YTQY152340570</t>
  </si>
  <si>
    <t xml:space="preserve">
Sales Order #: 2273369788
RTD Screening Code: DOD
Reason for Rejection: Y9</t>
  </si>
  <si>
    <t>THIS WILL BRING HELD AND USED BY THE WARRINGTON TWP POLICE DEPARTMENT TP ENHANCES OFFICER AND PUBLIC SAFETY BY ALLOWING LAW ENFORCEMENT TO LOCATE SUSPECTS, MISSING PERSONS, OR HIDDEN THREATS IN LOW-VISIBILITY CONDITIONS, SUCH AS DARKNESS, SMOKE, OR DENSE FOLIAGE. THIS WOULD HELP SUPPORTS QUICKER, SAFER RESOLUTIONS DURING SEARCHES, RESCUES, AND TACTICAL OPERATIONS</t>
  </si>
  <si>
    <t>2YTM8V52270596</t>
  </si>
  <si>
    <t>THIS SCOPE WILL BE CRITICAL LIFE SAFETY EQUIPMENT USED BY FIRST RESPONDERS TO ENHANCE SITUATIONAL AWARENESS IN LOW LIGHT ENVIRONMENTS.</t>
  </si>
  <si>
    <t>2YTJK252340643</t>
  </si>
  <si>
    <t>THIS SCOPE WILL BE CRITICAL LIFE SAFETY EQUIPMENT USED BY FIRST RESPONDERS TO ENHANCE SITUATIONAL AWARENESS IN LOW LIGHT AND SMOKY ENVIRONMENTS.</t>
  </si>
  <si>
    <t>2YTJK252270644</t>
  </si>
  <si>
    <t>2YTQYX52270638</t>
  </si>
  <si>
    <t>LOCHBUIE PD IS A SMALL AGENCY WITH A LIMITED BUDGET. THESE THERMAL DEVICES WOULD HELP PROVIDE OUR OFFICERS WITH THE NECESSARY TOOLS TO BE ABLE TO SAFELY PERFORM THEIR JOBS IN LOW-LIGHT SITUATIONS. WE WOULD USE THEM DAILY ON OUR POLICE DEPARTMENT PATROL UNIT</t>
  </si>
  <si>
    <t>2YTGVE52270627</t>
  </si>
  <si>
    <t>THESE ITEMS WOULD BE ISSUED TO LAW ENFORCEMENT OFFICERS WITH OUR DEPARTMENT SWAT TEAM. THESE ITEMS WOULD BE USED FOR LOW LIGHT, NO LIGHT OPERATIONS BY SWAT OFFICERS TO ENHANCE OPERATOR SAFETY AND MAKE THEM MORE EFFICIENT. 
INTENDED FOR USE IN RURAL AND WOODED AREAS WHERE TRADITIONAL OPTICS ARE LESS EFFECTIVE.</t>
  </si>
  <si>
    <t>2YTFXU52270629</t>
  </si>
  <si>
    <t xml:space="preserve">
Sales Order #: 2271768793
RTD Screening Code: DOD
Reason for Rejection: Y9</t>
  </si>
  <si>
    <t>OUR POLICE DEPARTMENT IS PART OF THE WEST SUBURBAN SPECIAL RESPONSE TEAM SWAT.  WE DO NOT HAVE A ROBOT FOR THE TEAM, AND WOULD GREATLY BENEFIT FROM ONE.</t>
  </si>
  <si>
    <t>2YTPK352278409</t>
  </si>
  <si>
    <t xml:space="preserve">
Sales Order #: 2272813406
RTD Screening Code: DOD
Reason for Rejection: Y9</t>
  </si>
  <si>
    <t>WASHINGTON COUNTY SHERIFF'S OFFICE IS A LAW ENFORCEMENT AGENCY IN THE STATE OF VIRGINIA. OUR AGENCY COULD USE THIS TRUCK FOR PATROLING AND TRANSPORTING PRISIONERS. ALSO, PULLING TRAILERS WITH EQUIPMENT. THIS TRUCK WILL BE USE BY LAW ENFORCEMENT PERSONNEL.</t>
  </si>
  <si>
    <t>2YTM9Q52279719</t>
  </si>
  <si>
    <t xml:space="preserve">
Sales Order #: 2272946825
RTD Screening Code: DOD
Reason for Rejection: Y9</t>
  </si>
  <si>
    <t>PSP WILL USE THIS ITEM TO MOVE PALLETS OF EQUIPMENT AROUND THE ACADEMY OVER ROUGH TERRAIN FROM TRAINING SITES TO TRAINING SITES.</t>
  </si>
  <si>
    <t>2YTJA952279711</t>
  </si>
  <si>
    <t xml:space="preserve">
Sales Order #: 2273215413
RTD Screening Code: DOD
Reason for Rejection: Y9</t>
  </si>
  <si>
    <t>TRUCK WILL BE USED BY THE GREENE COUNTY SHERIFFS OFFICE TO PULL A GOOSE NECK TRAILER THAT WE PLAN TO ACQUIRE FOR DISASTER RESPONSE. THIS WILL ALLOW US TO HAVE A TRUCK AND TRAILER READY TO RESPOND TO A DISASTER AND BRING OUR EQUIPMENT WITH US.</t>
  </si>
  <si>
    <t>2YTET652279733</t>
  </si>
  <si>
    <t xml:space="preserve">
Sales Order #: 2272901841
RTD Screening Code: DOD
Reason for Rejection: Y9</t>
  </si>
  <si>
    <t>CCSO, WOULD LIKE TO REQUEST THIS VEHICLE FOR USE BY OUR SPECIAL OPERATIONS TEAM DIVE, PMO-SNIPERS, RANGE PERSONAL FOR THE PURPOSE OF MOVING HEAVY EQUIPMENT IN ROUGH TERRAIN. THIS WOULD GIVE OUR TEAMS GREATER MOBILITY THAN WE CURRENTLY HAVE.
THANK YOU</t>
  </si>
  <si>
    <t>2YTC2B52279714</t>
  </si>
  <si>
    <t xml:space="preserve">
Sales Order #: 2272901844
RTD Screening Code: DOD
Reason for Rejection: Y9</t>
  </si>
  <si>
    <t>CCSO, WOULD LIKE TO REQUEST THIS VEHICLE FOR USE BY OUR SPECIAL OPERATIONS TEAM, DIVE, PMO,SNIPERS,RANGE PERSONAL FOR THE PURPOSE OF MOVING HEAVY EQUIPMENT IN ROUGH TERRAIN. THIS WOULD GIVE OUR TEAMS GREATER MOBILITY THAN WE CURRENTLY HAVE.</t>
  </si>
  <si>
    <t>2YTC2B52279713</t>
  </si>
  <si>
    <t xml:space="preserve">
Sales Order #: 2273248646
RTD Screening Code: DOD
Reason for Rejection: Y9</t>
  </si>
  <si>
    <t>CCSO, WOULD LIKE TO REQUEST THIS AND ANY OTHER TRAILERS IN GOOD CONDITION FOR THE PURPOSE OF MOVING MANY OF THE ITEMS THAT WE ARE GRANTED FROM DLA, THESE HEAVY-DUTY TRAILERS WOULD BE PERFECT FOR MOVING MANY OF THE PORTABLE BUILDINGS THAT WE HAVE RECENTLY ACQUIRED.
THANK YOU</t>
  </si>
  <si>
    <t>2YTC2B52279688</t>
  </si>
  <si>
    <t xml:space="preserve">
Sales Order #: 2273286983
RTD Screening Code: DOD
Reason for Rejection: Y9</t>
  </si>
  <si>
    <t>2YTC2B52279684</t>
  </si>
  <si>
    <t xml:space="preserve">
Sales Order #: 2272282792
RTD Screening Code: DOD
Reason for Rejection: Y9</t>
  </si>
  <si>
    <t>WE ARE BOAZ POLICE. WE DO HAVE A KITCHEN JAIL AND THIS MAY BE VERY USEFUL SERVING AND TRANSPORTING DISHES TO AND FROM THE JAIL. ALSO, WE ARE PUTTING TOGETHER A MECHANICS SHOP AND THIS MAY BE VERY USEFUL IN TRANSPORTING TOOLS AND PARTS AROUND THE SHOP TO REPAIR OUR OWN POLICE VEHICLES. THIS IS OUR GOAL. WE ARE STARTING FROM SCRATCH WITH EQUIPMENT. THANK YOU FOR YOUR CONSIDERATION.</t>
  </si>
  <si>
    <t>CART, DISH</t>
  </si>
  <si>
    <t>DSCART006</t>
  </si>
  <si>
    <t>2YTBCH52279739</t>
  </si>
  <si>
    <t xml:space="preserve">
Sales Order #: 2272282801
RTD Screening Code: DOD
Reason for Rejection: Y9</t>
  </si>
  <si>
    <t>WE ARE BOAZ POLICE. WE ARE COMING FOR A VEHICLE. WE ARE STARTING FROM SCRATCH TO BUILD A MECHANIC GARAGE. WE NEED A COMPRESSOR. THERE IS NO PICTURE OF THIS ITEM. HOWEVER, IT COULD BE LARGE ENOUGH TO HELP US IN REPAIRING THE VEHICLES  AND OPERATE PNEUMATIC TOOLS. WHICH ARE CHEAPER THAN BATTERY OPERATED TOOLS. IF YOU CAN SEND PIC TO THOMAS.MCCALLIE AT CITYOFBOAZ.ORG THANK YOU</t>
  </si>
  <si>
    <t>2YTBCH52279736</t>
  </si>
  <si>
    <t xml:space="preserve">
Sales Order #: 2272282795
RTD Screening Code: DOD
Reason for Rejection: Y9</t>
  </si>
  <si>
    <t>WE ARE BOAZ POLICE. I HAVE TWO THOUGHTS HERE, ONE THIS WOULD BE GREAT FOR OUR MECHANICS GARAGE WE ARE PUTTING TOGETHER. TO BE ABLE TO ASSEMBLE AND WASH OUR VEHICLE PARTS. ALSO, WE DO HAVE A JAIL AND A KITCHEN. WE NEED TO UPGRADE OUR EQUIPMENT TO PREPARE AND SERVE FOOD TO INMATES. THIS HAS MULTIPLE POSSIBILITIES IN OUR DEPARTMENT. THANK YOU FOR YOUR CONSIDERATION ON THIS.</t>
  </si>
  <si>
    <t>KITCHEN EQUIPMENT AND APPLIANCES</t>
  </si>
  <si>
    <t>DSKITCHEN</t>
  </si>
  <si>
    <t>2YTBCH52279708</t>
  </si>
  <si>
    <t xml:space="preserve">
Sales Order #: 2270018622
RTD Screening Code: DOD
Reason for Rejection: Y9</t>
  </si>
  <si>
    <t>THE AUGUSTA POLICE DEPARTMENT IS IN NEED OF A BOAT TO PATROL LAKE EAU CLAIRE, A POPULAR RECREATIONAL LAKE IN OUR JURISDICTION,</t>
  </si>
  <si>
    <t>2YTRJ552279679</t>
  </si>
  <si>
    <t xml:space="preserve">
Sales Order #: 2273215411
RTD Screening Code: DOD
Reason for Rejection: Y9</t>
  </si>
  <si>
    <t>THE BRISTOL TENNESSEE POLICE DEPARTMENT WOULD REPAIR THIS VAN BASED ON THE DESCRIPTION AND ASSIGN IT TO OUR EVIDENCE TECHNICIAN WHO WOULD UTILIZE THE VAN FOR CRIME SCENE PROCESSING EQUIPMENT AND TRANSPORTATION OF EVIDENCE TO OR FROM THE CRIME LAB FOR PROCESSING.</t>
  </si>
  <si>
    <t>2YTBJQ52279766</t>
  </si>
  <si>
    <t xml:space="preserve">
Sales Order #: 2268459453
RTD Screening Code: DOD
Reason for Rejection: Y9</t>
  </si>
  <si>
    <t>2YTQB552279831</t>
  </si>
  <si>
    <t xml:space="preserve">
Sales Order #: 2273286987
RTD Screening Code: DOD
Reason for Rejection: Y9</t>
  </si>
  <si>
    <t>2YTJL952279779</t>
  </si>
  <si>
    <t xml:space="preserve">
Sales Order #: 2272804535
RTD Screening Code: DOD
Reason for Rejection: Y9</t>
  </si>
  <si>
    <t>CHAIRS USED FOR DEPUTY DESKS</t>
  </si>
  <si>
    <t>2YTGK952279947</t>
  </si>
  <si>
    <t xml:space="preserve">
Sales Order #: 2270019130
RTD Screening Code: DOD
Reason for Rejection: Y9</t>
  </si>
  <si>
    <t>GENERATOR WILL BE USED BY HOUSTON POLICE OFFICERS IN THE DRONE UNIT TO OPERATE HOUSTON POLICE DRONE SUPPORT UNITS WHILE OPERATING IN SEARCH AND RESCUE AND MISSING PERSONS OPERATIONS</t>
  </si>
  <si>
    <t>2YTFKH52279968</t>
  </si>
  <si>
    <t xml:space="preserve">
Sales Order #: 2273369721
RTD Screening Code: DOD
Reason for Rejection: Y9</t>
  </si>
  <si>
    <t>GENERATOR WILL BE USED BY HOUSTON POLICE OFFICERS IN THE HOUSTON POLICE DIVE TEAM TO PROVIDE POWER WHILE PERFORMING DIVE AND SONAR SEARCHES DURING UNDERWATER BODY AND VEHICLE RECOVERY IN THE CITY.</t>
  </si>
  <si>
    <t>2YTFKH52279971</t>
  </si>
  <si>
    <t xml:space="preserve">
Sales Order #: 2272393997
RTD Screening Code: DOD
Reason for Rejection: Y9</t>
  </si>
  <si>
    <t>GENERATOR WILL BE USED BY HOUSTON POLICE OFFICERS IN THE HOUSTON POLICE MISSING PERSONS UNIT TO PROVIDE POWER FOR DRONES AND COMMUNICATION EQUIPMENT USED DURING FIELD OPERATIONS WHERE POWER IS NOT AVAILABLE</t>
  </si>
  <si>
    <t>2YTFKH52279970</t>
  </si>
  <si>
    <t xml:space="preserve">
Sales Order #: 2272393990
RTD Screening Code: DOD
Reason for Rejection: Y9</t>
  </si>
  <si>
    <t>GENERATOR WILL BE USED BY HOUSTON POLICE OFFICERS IN THE HIGH WATER RESCUE UNIT TO PROVIDE EMERGENCY POWER FOR USE DURING FIELD REPAIRS TO HOUSTON POLICE HIGH WATER RESCUE TRUCKS.</t>
  </si>
  <si>
    <t>2YTFKH52279969</t>
  </si>
  <si>
    <t>ALPENA COUNTY SHERIFF'S OFFICE, TO BE USED IN THE EVENT OF POWER OUTAGES.</t>
  </si>
  <si>
    <t>2YTAG352270095</t>
  </si>
  <si>
    <t xml:space="preserve">
Sales Order #: 2273391333
RTD Screening Code: DOD
Reason for Rejection: Y9</t>
  </si>
  <si>
    <t>RCSO NEEDS THIS EQUIPMENT FOR ORGANIZATION AND STORAGE OF CURRENT PROPERTY TO INCLUDE TOOLS AND RELATED SUPPLIES</t>
  </si>
  <si>
    <t>2YTJ7852340113</t>
  </si>
  <si>
    <t xml:space="preserve">
Sales Order #: 2273970673
RTD Screening Code: DOD
Reason for Rejection: Y9</t>
  </si>
  <si>
    <t>THE COLUMBUS POLICE DEPARTMENT WILL USE THIS UAS SYSTEM TO AID IN SEARCH AND RESCUE OPERATIONS IN RURAL AREAS AND IN AIDING TO SURVEY DAMAGE FROM NATURAL DISASTERS.</t>
  </si>
  <si>
    <t>2YTCPL52340141</t>
  </si>
  <si>
    <t xml:space="preserve">
Sales Order #: 2273391327
RTD Screening Code: DOD
Reason for Rejection: Y9</t>
  </si>
  <si>
    <t>TOOLBOX REQUESTED BY ATLANTIC BEACH PD, FOR USE BY ATLANTIC BEACH PD OFFICERS, FOR INITIAL PROCESSING PHASE OF SEIZED ITEMS FOR EVIDENCE, DESTRUCTION, OR SAFEKEEPING PRIOR TO SUBMITTING TO EVIDENCE UNIT.</t>
  </si>
  <si>
    <t>2YTQD952340180</t>
  </si>
  <si>
    <t xml:space="preserve">
Sales Order #: 2273391332
RTD Screening Code: DOD
Reason for Rejection: Y9</t>
  </si>
  <si>
    <t>TOOLBOX REQUESTED BY ATLANTIC BEACH PD, FOR USE BY ATLANTIC BEACH PD OFFICERS ASSIGNED TO THE EVIDENCE UNIT, FOR INTAKE AND PROCESSING OF SEIZED ITEMS BY THE ATLANTIC BEACH PD.</t>
  </si>
  <si>
    <t>2YTQD952340179</t>
  </si>
  <si>
    <t xml:space="preserve">
Sales Order #: 2273770213
RTD Screening Code: DOD
Reason for Rejection: Y9</t>
  </si>
  <si>
    <t>THE TROUP POLICE DEPARTMENT WOULD LIKE TO ACQUIRE THIS ITEM FOR THE USE OF TRANSPORTING POLICE EQUIPMENT AND OTHER VARIOUS SEIZED ITEMS</t>
  </si>
  <si>
    <t>2YTLY352270375</t>
  </si>
  <si>
    <t xml:space="preserve">
Sales Order #: 2273970686
RTD Screening Code: DOD
Reason for Rejection: Y9</t>
  </si>
  <si>
    <t>2YTKSE52340331</t>
  </si>
  <si>
    <t>2YTS0952270073</t>
  </si>
  <si>
    <t>2YTMRH52270449</t>
  </si>
  <si>
    <t>2YTMRH52270436</t>
  </si>
  <si>
    <t xml:space="preserve">
Sales Order #: 2273952215
RTD Screening Code: DOD
Reason for Rejection: Y9</t>
  </si>
  <si>
    <t>THE CLARKE COUNTY SHERIFF'S OFFICE WOULD LIKE TO ACQUIRE THIS EQUIPMENT TO BE UTILIZED BY OUR OFFICERS AND COMMUNITY MEMBERS FOR TRAINING IN SELF DEFENSE AND OTHER TYPES OF TRAINING IN FITNESS.</t>
  </si>
  <si>
    <t>2YTCFW52340409</t>
  </si>
  <si>
    <t xml:space="preserve">
Sales Order #: 2274049129
RTD Screening Code: DOD
Reason for Rejection: Y9</t>
  </si>
  <si>
    <t>2YTFK752270551</t>
  </si>
  <si>
    <t xml:space="preserve">
Sales Order #: 2274049116
RTD Screening Code: GSA
Reason for Rejection: Y9</t>
  </si>
  <si>
    <t>WOULD BE USED BY HUBBARD POLICE OFFICERS FOR MOBILE USE IN THE FIELD TO PROCESS CRIMINAL REPORTS, UPLOAD PHOTOS AND TYPE REPORTS.</t>
  </si>
  <si>
    <t>2YTFK752200577</t>
  </si>
  <si>
    <t xml:space="preserve">
Sales Order #: 2274049109
RTD Screening Code: GSA
Reason for Rejection: Y9</t>
  </si>
  <si>
    <t>THE FAYETTEVILLE POLICE DEPARTMENT, A SMALL RURAL AGENCY, PLAYS A CRITICAL ROLE IN ENSURING THE SAFETY AND SECURITY OF ITS COMMUNITY DESPITE OPERATING WITH LIMITED RESOURCES. ONE AREA WHERE THE DEPARTMENT COULD GREATLY BENEFIT FROM SUPPORT IS IN UPDATING ITS IN CAR COMPUTER AIDED DISPATCH  SYSTEMS. THE ACQUISITION OF DECOMMISSIONED GOVERNMENT TOUGH BOOKS PRESENTS AN IDEAL SOLUTION TO TECHNOLOGY WITHOUT STRAINING THE DEPARTMENTS BUDGET.</t>
  </si>
  <si>
    <t>2YTD1D52200579</t>
  </si>
  <si>
    <t>THE SCOTLAND COUNTY SHERIFF'S OFFICE IS LOOKING TO ADD A ROBOT TO ASSIST WITH OUR SWAT TEAM WITH TACTICAL AND SEARCH AND RESCUE OPERATIONS.  THE ADDITION OF THIS ITEM WILL GREATLY INCREASE OFFICER SAFETY DURING TACTICAL OPERATIONS AS WELL AS ASSIST OFFICERS WITH SEARCH AND RESCUE OPERATIONS.</t>
  </si>
  <si>
    <t>2YTKUK52270642</t>
  </si>
  <si>
    <t>OUR AGENCY NEEDS THIS EQUIPMENT. WILL BE USED BY REQUESTING AGENCY FOR LAW ENFORCEMENT PURPOSES ONLY. WILL BE ISSUED TO OFFICERS FOR NIGHT PATROLS AND DUTY USE.</t>
  </si>
  <si>
    <t>2YTHYA52270618</t>
  </si>
  <si>
    <t xml:space="preserve">
Sales Order #: 2273970652
RTD Screening Code: DOD
Reason for Rejection: Y9</t>
  </si>
  <si>
    <t>FEDERAL SCREENER FOR DIVISION WITH 200 LAW ENFORCEMENT AGENTS TO INCLUDE 19 SWAT OPERATORS. FUNDING IS LIMITED AND THESE ARE COST PROHIBITIVE TO PURCHASE.  CAMERAS AND LENSES WILL BE USED FOR SURVEILLANCE OPERATIONS.</t>
  </si>
  <si>
    <t>2YTQY152270647</t>
  </si>
  <si>
    <t>TO BE PLACED IN OUR TRAINING OFFICES TO REPLACE BROKEN ONES SO THAT PROPER LEARNING CAN TAKE PLACE AND NOT DISCOMFORT FROM A BROKEN CHAIR</t>
  </si>
  <si>
    <t>2YTLK552270668</t>
  </si>
  <si>
    <t>CCSO, WOULD LIKE TO REQUEST THESE ITEMS FOR OUR PERSONAL TO USE DURING DAILY DUTIES WHERE TRAFFIC CONTROL IS NECESSARY.
THANK YOU</t>
  </si>
  <si>
    <t>2YTC2B52270664</t>
  </si>
  <si>
    <t>CCSO, WOULD LIKE TO REQUEST THESE BINOCULARS TO BE USED BY OUR PERSONAL DURING LAW ENFORCEMENT DUTIES.
THANK YOU</t>
  </si>
  <si>
    <t>2YTC2B52270663</t>
  </si>
  <si>
    <t>2YTS0952270076</t>
  </si>
  <si>
    <t>WE ARE THE LARGEST COUNTY IN OREGON, WITH APPROXIMATELY 10,000 SQUARE MILES OF LAND. WE ARE A SMALL, RURAL, FRONTIER COMMUNITY THAT HAS LIMITED RESOURCES AND MEANS OF OUTSIDE BACKUP AND SUPPORT. WITH THE HELP OF THESE AIRCRAFTS WE WOULD BE ABLE TO CONDUCT SEARCHES THAT TAKE A SIGNIFICATE AMOUNT OF PERSONNEL AND RESOURCES WE DO NOT HAVE. EVENTS LIKE MISSING PERSONS,  DISASTERS SUCH AS THE FIRES IN 2024, THE FLOODING SPRING OF  2025. THESE WOULD BE A HUGE ASSET.</t>
  </si>
  <si>
    <t>2YTR7052270575</t>
  </si>
  <si>
    <t>BURNS POLICE DEPARTMENT (2YTR70)</t>
  </si>
  <si>
    <t>THE HEADLAND POLICE DEPARTMENT WOULD   BENEFIT FROM THIS EQUIPMENT BY PROVIDING OUR UAS OPERATORS TO HAVE THE EQUIPMENT TO SAFELY USE AS SURVEILENCE AND TO SAFELY SECURE AREAS OF NEED. THIS WOULD PROVIDE THE OFFICCERS WITH THE INFORMATION THAT WOULD ALLOW THEM TO DO THIER JOB SAFELY. IT WOULD ALLOW FOR QUICKER RESCUE AND LOCATION OF INDIVIDUALS IN NEED.</t>
  </si>
  <si>
    <t>2YTE9E52270462</t>
  </si>
  <si>
    <t xml:space="preserve">
Sales Order #: 2271283198
RTD Screening Code: DOD
Reason for Rejection: YH</t>
  </si>
  <si>
    <t>FOR USE BY THIS LAW ENFORCEMENT AGENCY. ORANGE POLICE DEPARTMENT ONLY. THE VEHICLE WILL BE ASSIGNED TO EMERGENCY SERVICE WERE OFFICERS CAN UTILIZE FOR DAILY OPERATIONS AND CRITICAL INCIDENT RESPONSE. ITS PURPOSE WILL PROVIDE IMMEDIATE RESPONSE CAPABILITY, HOUSE ESSENTIAL EQUIPMENT, AND SUPPORT ACCESS CONTROL DURING BOTH ROUTINE AND EMERGENCY SITUATIONS. ADDITIONALLY, IT WILL SUPPORT CRISIS NEGOTIATORS IN INCIDENTS SUCH AS BARRICADED SUBJECTS AND ACTIVE THREAT SITUATIONS.</t>
  </si>
  <si>
    <t>2YT15D51997888</t>
  </si>
  <si>
    <t xml:space="preserve">
Sales Order #: 2267811067
RTD Screening Code: DOD
Reason for Rejection: YH</t>
  </si>
  <si>
    <t>TO BE USED BY THE NOKOMIS POLICE DEPARTMENT FOR EMERGENCY MEDICAL RESPONSE WHEN WAITING ON EMS ARRIVAL ISN'T PRUDENT.</t>
  </si>
  <si>
    <t>2YT1MW52068605</t>
  </si>
  <si>
    <t xml:space="preserve">
Sales Order #: 2272850520
RTD Screening Code: DOD
Reason for Rejection: YG</t>
  </si>
  <si>
    <t>REQUESTING AGENCY HAS CONFIRMED WITH THE DLA DS LOCATION REGARDING THE LISTED ITEM CONDITION AND IS SATISFIED THAT THE ITEM REQUESTED IS OF OPERATIONAL AND OR SERVICEABLE CONDITION. LIGHTS WILL BE UTILIZED FOR VARIOUS PUBLIC SAFETY FUNCTIONS BY AGENCY PERSONNEL WHICH WILL ENHANCE EFFECTIVENESS, INCREASE OFFICER SAFETY AND SITUATIONAL AWARENESS BY PROVIDING ADEQUATE ILLUMINATION FOR PURPOSES OF CRIME SUPPRESSION, EVIDENCE COLLECTION, SEARCH AND RESCUE, SCENE SECURITY AND OTHER TASKS.</t>
  </si>
  <si>
    <t>SEARCHLIGHT</t>
  </si>
  <si>
    <t>2YTPUC52138881</t>
  </si>
  <si>
    <t xml:space="preserve">
Sales Order #: 2257664481
RTD Screening Code: DOD
Reason for Rejection: YH</t>
  </si>
  <si>
    <t>2YTRJ552279678</t>
  </si>
  <si>
    <t xml:space="preserve">
Sales Order #: 2267889157
RTD Screening Code: DOD
Reason for Rejection: Y9</t>
  </si>
  <si>
    <t>THIS WILL BE PLACED IN THE SHERIFF'S OFFICE WAREHOUSE TO STORE TOOLS AND EQUIPMENT USED TO WORK ON VEHICLES AND OTHER LAW ENFORCEMENT ITEMS.</t>
  </si>
  <si>
    <t>2YTNUS52340431</t>
  </si>
  <si>
    <t>THIS WILL BE USED ON THE FIRING RANGE TO PROTECT THE SHOOTER EYES DURING LIVE FIRE TRAINING</t>
  </si>
  <si>
    <t>2YTLK552410776</t>
  </si>
  <si>
    <t xml:space="preserve">
Sales Order #: 2271214787
RTD Screening Code: DOD
Reason for Rejection: Y9</t>
  </si>
  <si>
    <t>THIS ASSET WOULD BENEFIT OUR AGENCY BY ALLOWING OUR OFFICERS TO USE THIS FOR RANGE MAINTENANCE AND EXPANSION. THIS ASSET WILL BE VITAL IN MAINTAINING AND EXPANDING OUR BURM AS WELL AND REMOVING DOWNED TREES. THIS ASSET WOULD ALSO BENEFIT US BY ALLOWING US TO RE SPREAD GRAVEL IN THE WALKWAYS. WE WOULD REPAIR THIS ASSET IF NEEDED.</t>
  </si>
  <si>
    <t>2YTS0852410752</t>
  </si>
  <si>
    <t>OUR SWAT OFFICERS WILL USE THESE BALLISTIC PROTECTIVE GLASSES DURING TRAINING AND TACTICAL LAW ENFORCEMENT OPERATIONS.  THEIR MISSION SET INCLUDES COUNTER-DRUG SEARCH WARRANT OPERATIONS, COUNTER-TERRORISM, AND OTHER TACTICAL LAW ENFORCEMENT OPERATIONS.</t>
  </si>
  <si>
    <t>2YTP2752410704</t>
  </si>
  <si>
    <t xml:space="preserve">
Sales Order #: 2274133298
RTD Screening Code: DOD
Reason for Rejection: Y9</t>
  </si>
  <si>
    <t>PSP WILL USE THIS ITEM FOR SHOOTING RANGE MAINTENANCE AT THE PA STATE POLICE ACADEMY.</t>
  </si>
  <si>
    <t>2YTJA952410807</t>
  </si>
  <si>
    <t>WOULD LIKE TO ISSUE OFFICERS IN MY AGENCY THEIR OWN EYE PROTECTION. WE ARE APPROXIMATELY 90 SWORN OFFICER AGENCY.</t>
  </si>
  <si>
    <t>2YTDSG52410852</t>
  </si>
  <si>
    <t>THIS AGENCY IS REQUESTING THIS ITEM TO BE USED BY AGENCY OFFICERS.  THE ITEM WILL BE USED TO MOVED EQUIPMENT, TRANSPORT OFFICERS, PATROL REMOTE WOODED AREAS.  THIS SPECIFIC ITEM CAN BE USED WITH ATTACHMENTS WHICH THIS AGENCY OWNS TO MAKE THE ITEM VERSATILE. PLOWING ECT</t>
  </si>
  <si>
    <t>2YTL5G52410926</t>
  </si>
  <si>
    <t>UNION COUNTY POLICE DEPT (2YTL5G)</t>
  </si>
  <si>
    <t>THIS UTV WOULD BE USED BY OFFICERS OF THE TONTO APACHE POLICE DEPARTMENT FOR PATROL OF FOREST AREAS NOT ACCESSIBLE BY A STANDARD POLICE VEHICLE AND USED AT OUTDOOR EVENTS FOR FASTER RESPONSE TO POLICE CALLS FOR SERVICE.</t>
  </si>
  <si>
    <t>2YTRQ752411006</t>
  </si>
  <si>
    <t>FOR USE BY THIS LEA ONLY. TO ASSIST WITH THE TRANSPORTING OF PERSONNEL AND EQUIPMENT DURING NATURAL AND OR MANMADE DISASTERS. TO ALSO ASSIST WITH HOMELAND SECURITY OPERATIONS AND OTHER LAW ENFORCEMENT OPERATIONS IN AREAS THAT OUR NORMAL PATROL VEHICLES CANNOT ACCESS. THIS ITEM WILL INCREASE OUR TRAINING AND OPERATIONAL CAPABILITIES IN CRIMINAL INVESTIGATIONS AND FOR HOMELAND SECURITY INITIATIVES.</t>
  </si>
  <si>
    <t>2YTQKY52411046</t>
  </si>
  <si>
    <t>THE INTEGRATION OF ROBOTIC SYSTEMS INTO LAW ENFORCEMENT OPERATIONS REPRESENTS A FORWARD THINKING APPROACH TO ENHANCING PUBLIC SAFETY. OPERATIONAL EFFICIENCY. AND OFFICER WELL BEING. THE DEPLOYMENT OF A LAW ENFORCEMENT ROBOT IS JUSTIFIED ON THE FOLLOWING GROUNDS. ENHANCED OFFICER SAFETY. INCREASED OPERATIONAL EFFICIENCY. IMPROVED PUBLIC SAFETY AND RESPONSE TIME. TRANSPARENCY AND ACCOUNTABILITY. ROBOTS CAN BE DEPLOYED IN HIGH RISK SCENARIOS SUCH AS BOMB THREATS AND ACTIVE SHOOTER SITUATIONS.</t>
  </si>
  <si>
    <t>2YTEEE52551011</t>
  </si>
  <si>
    <t>FULTON POLICE DEPT (2YTEEE)</t>
  </si>
  <si>
    <t>ALPENA COUNTY SHERIFFS DEPARTMENT  USED TO MOVE EQUIPMENT AND SUPPLIES</t>
  </si>
  <si>
    <t>2YTAG352410955</t>
  </si>
  <si>
    <t xml:space="preserve">
Sales Order #: 2264375674
RTD Screening Code: DOD
Reason for Rejection: YG</t>
  </si>
  <si>
    <t>THE BOOTS WILL BE USED FOR LAW ENFORCEMENT PURPOSES. IF GRANTED, THEY WILL BE ISSUED TO THE SAN AUGUSTINE COUNTY SHERIFF'S SWAT TEAM. THE TEAM IS CURRENTLY WEARING TACTICAL UNIFORMS, AND THESE BOOTS WILL PROVIDE OUR TEAM WITH TACTICAL FOOTWEAR.</t>
  </si>
  <si>
    <t>2YTKN950879285</t>
  </si>
  <si>
    <t>SAN AUGUSTINE COUNTY SHERIFF OFFICE (2YTKN9)</t>
  </si>
  <si>
    <t xml:space="preserve">
Sales Order #: 2272124129
RTD Screening Code: DOD
Reason for Rejection: YG</t>
  </si>
  <si>
    <t>THE YUMA POLICE DEPARTMENT IS REQUESTING THESE ITEMS TO BE ISSUED TO PATROL AND SPECIAL ENFORCEMENT OFFICERS FOR USE DURING ACTIVE KILLER AND OTHER MASS CASUALTY EVENTS TO VISUALLY SIGNAL CLEARED ROOMS AND AREAS, OR DESIGNATE INJURED CITIZENS.</t>
  </si>
  <si>
    <t>2YTN1M51998492</t>
  </si>
  <si>
    <t xml:space="preserve">
Sales Order #: 2272933713
RTD Screening Code: DOD
Reason for Rejection: YH</t>
  </si>
  <si>
    <t>THE TUCSON POLICE DEPT ARE REQUESTING THESE CASES TO BE USED BY DETECTIVES TO STORE ITEMS USED FOR SEARCH WARRANTS TO INCLUDE PAPERWORK, COLLECTION EQUIPMENT, ETC.  THE CASES WILL ENSURE ITEMS ARE IN ONE LOCATION WHEN RESPONDING TO INVESTIGATIONS.</t>
  </si>
  <si>
    <t>2YTLZ852209505</t>
  </si>
  <si>
    <t xml:space="preserve">
Sales Order #: 2273135925
RTD Screening Code: DOD
Reason for Rejection: YH</t>
  </si>
  <si>
    <t>THE BELLA VISTA POLICE DEPARTMENT WOULD UTILIZE THIS TRACTOR FOR GROUNDS MAINTENANCE. THIS EQUIPMENT WILL BE USED FOR LAW ENFORCEMENT PURPOSES ONLY.</t>
  </si>
  <si>
    <t>2YTA2S52209591</t>
  </si>
  <si>
    <t xml:space="preserve">
Sales Order #: 2273597025
RTD Screening Code: DOD
Reason for Rejection: YH</t>
  </si>
  <si>
    <t>2YTMDH5220JG30</t>
  </si>
  <si>
    <t xml:space="preserve">
Sales Order #: 2273753399
RTD Screening Code: DOD
Reason for Rejection: Y9</t>
  </si>
  <si>
    <t>2YTMPA52340227</t>
  </si>
  <si>
    <t xml:space="preserve">
Sales Order #: 2273753382
RTD Screening Code: DOD
Reason for Rejection: Y9</t>
  </si>
  <si>
    <t>FOR REMOTE MEETINGS AND TELE USE.</t>
  </si>
  <si>
    <t>2YTMPA52340221</t>
  </si>
  <si>
    <t xml:space="preserve">
Sales Order #: 2274140358
RTD Screening Code: DOD
Reason for Rejection: Y9</t>
  </si>
  <si>
    <t>CCSO, WOULD LIKE TO REQUEST THIS EQUIPMENT TO GO WITH OUR OTHER WELDING ITEMS FOR THE BUILD OF OUR RANGE FACILITY.
THANK YIOU</t>
  </si>
  <si>
    <t>2YTC2B52340662</t>
  </si>
  <si>
    <t>THE ADDITION OF AN EXERCISE BIKE TO THE UNITED STATES POSTAL INSPECTION SERVICE GYM DIRECTLY SUPPORTS THE PHYSICAL PREPAREDNESS, WELLNESS, AND RESILIENCE OF LAW ENFORCEMENT OFFICERS, CONTRIBUTING TO A HEALTHIER AND MORE EFFECTIVE WORKFORCE. THIS EXERCISE BIKE WOULD DIRECTLY SUPPORT THE AGENCY'S CRITICAL GOALS RELATED TO OFFICER WELLNESS, OPERATIONAL READINESS, AND INJURY PREVENTION.</t>
  </si>
  <si>
    <t>2YTR8652411018</t>
  </si>
  <si>
    <t>USPS/USPIS PHILADELPHIA DIV (2YTR86)</t>
  </si>
  <si>
    <t xml:space="preserve">
Sales Order #: 2274152800
RTD Screening Code: DOD
Reason for Rejection: Y9</t>
  </si>
  <si>
    <t>OUR AGENCY NEEDS THIS EQUIPMENT.  WILL BE ISSUED TO PATROL OFFICERS AND SWAT MEMBERS FOR NIGHT AND INDOOR OPERATIONS.  THIS EQUIPMENT WILL BE USED BY REQUESTING AGENCY FOR LAW ENFORCEMENT PURPOSES ONLY.  THE IR FUNCTION OF THIS EQUIPMENT WILL SUPPLEMENT OUR NIGHT VISION OPERATIONS.</t>
  </si>
  <si>
    <t>2YTHYA52410983</t>
  </si>
  <si>
    <t xml:space="preserve">
Sales Order #: 2274138032
RTD Screening Code: DOD
Reason for Rejection: BQ</t>
  </si>
  <si>
    <t>GCPRANGERS WILL USE FOR EMERGENCY AND MAINTENANCE OPERATIONS</t>
  </si>
  <si>
    <t>2YTPEQ52410868</t>
  </si>
  <si>
    <t xml:space="preserve">
Sales Order #: 2274138027
RTD Screening Code: DOD
Reason for Rejection: BQ</t>
  </si>
  <si>
    <t>GCPRANGERS WILL USE UNIT FOR EQUIPMENT STORAGE.</t>
  </si>
  <si>
    <t>2YTPEQ52340869</t>
  </si>
  <si>
    <t xml:space="preserve">
Sales Order #: 2269717165
RTD Screening Code: DOD
Reason for Rejection: YH</t>
  </si>
  <si>
    <t xml:space="preserve">THE POLICE DEPARTMENT SEEKS SURPLUS VEHICLE TO CONVERT INTO A MOBILE COMMAND POST AND SATELLITE OFFICE. THIS TRANSFORMATION WILL ENHANCE OUR OPERATIONAL CAPACITY, ALLOWING OFFICERS TO RESPOND SWIFTLY TO EMERGENCIES, MAINTAIN A VISIBLE PRESENCE IN THE COMMUNITY, AND CONDUCT ON-SITE INVESTIGATIONS. THE MOBILE UNIT WILL BE EQUIPPED WITH ADVANCED COMMUNICATION TOOLS, ENSURING COORDINATION DURING CRITICAL INCIDENTS AND FOSTERING PUBLIC SAFETY.
</t>
  </si>
  <si>
    <t>2YTC8P51716154</t>
  </si>
  <si>
    <t xml:space="preserve">
Sales Order #: 2272340704
RTD Screening Code: DOD
Reason for Rejection: YF</t>
  </si>
  <si>
    <t>FOR THIS LEA ONLY. THE NORTH BERGEN POLICE DEPARTMENT WOULD LIKE TO REQUEST THIS VEHICLE AS A WATER RESCUE UNIT.  THIS WILL ALLOW US TO PICK UP STRANDED PASSENGERS AND MOVE THEM TO SAFETY. THANK YOU FOR YOUR CONSIDERATION.</t>
  </si>
  <si>
    <t>2YT1NW52209172</t>
  </si>
  <si>
    <t xml:space="preserve">
Sales Order #: 2272841483
RTD Screening Code: DOD
Reason for Rejection: YG</t>
  </si>
  <si>
    <t>2YTDGB52139476</t>
  </si>
  <si>
    <t xml:space="preserve">
Sales Order #: 2272123220
RTD Screening Code: DOD
Reason for Rejection: YG</t>
  </si>
  <si>
    <t>2YTDGB52139475</t>
  </si>
  <si>
    <t xml:space="preserve">
Sales Order #: 2272913943
RTD Screening Code: DOD
Reason for Rejection: YH</t>
  </si>
  <si>
    <t>MATS WILL BE USED BY HOUSTON POLICE OFFICERS IN THE HIGH WATER RESCUE UNIT TO PROVIDE A PADDED AND PROTECTIVE BARRIER TO PREVENT OIL AND TRANSMISSION FLUID FROM POLLUTING SHOP AREA WHILE REPAIRING AND MAINTAINING HOUSTON POLICE HIGH WATER RESCUE TRUCKS.</t>
  </si>
  <si>
    <t>RUBBER FABRICATED MATERIALS</t>
  </si>
  <si>
    <t>DSRUBBERM</t>
  </si>
  <si>
    <t>2YTFKH52209519</t>
  </si>
  <si>
    <t xml:space="preserve">
Sales Order #: 2257664482
RTD Screening Code: DOD
Reason for Rejection: YH</t>
  </si>
  <si>
    <t>HUB WILL BE USED BY HOUSTON POLICE OFFICERS IN THE HIGH WATER RESCUE UNIT TO REPLACE DAMAGED AND INOPERABLE HUB ON HOUSTON POLICE HIGH WATER RESCUE TRUCKS TO MAINTAIN MISSION READINESS AND EFFECTIVENESS WHEN DEPLOYED IN ENVIRONMENTAL DISASTERS IN THE CITY.</t>
  </si>
  <si>
    <t>HUB,WHEEL,VEHICULAR</t>
  </si>
  <si>
    <t>2YTFKH52279747</t>
  </si>
  <si>
    <t xml:space="preserve">
Sales Order #: 2253488334
RTD Screening Code: DOD
Reason for Rejection: YH</t>
  </si>
  <si>
    <t>THE ERWIN POLICE DEPARTMENT NEEDS THIS EQUIPMENT FOR AIDING IN FINDING SHELL CASINGS AND OTHER METALLIC ITEMS FREQUENTLY INVOLVED IN DRUG CRIMES. AT THIS TIME, WE BORROW ONE WHEN AVAILABLE FROM THE PUBLIC. HAVING ONE IN HOUSE WOULD BE OF GREAT BENEFIT TO THE PD. THANK YOU.</t>
  </si>
  <si>
    <t>DETECTING SET,MINE</t>
  </si>
  <si>
    <t>2YTDUF52270027</t>
  </si>
  <si>
    <t xml:space="preserve">
Sales Order #: 2273215463
RTD Screening Code: DOD
Reason for Rejection: YH</t>
  </si>
  <si>
    <t>THE ERWIN POLICE DEPARTMENT NEEDS THIS EQUIPMENT FOR POWERING UTILITIES AND EQUIPMENT USED AT ERWIN POLICE DEPARTMENT AND AT THE FIRING RANGE. THEY CAN ALSO BE USED DURING NATURAL DISASTERS AND EMERGENCIES. THANK YOU.</t>
  </si>
  <si>
    <t>2YTDUF52270026</t>
  </si>
  <si>
    <t xml:space="preserve">
Sales Order #: 2273391336
RTD Screening Code: DOD
Reason for Rejection: Y9</t>
  </si>
  <si>
    <t>THE BRISTOL TENNESSEE POLICE DEPARTMENT NEEDS THIS FORKLIFT AND THE OTHER ONE WE PUT IN FOR AT TWO DIFFERENT POLICE DEPARTMENT LOCATIONS. THIS FORKLIFT WOULD BE USED TO PLACE BARRIERS OUT FOR CROWD CONTROL AND HARD ARMORING PROTECTION TO KEEP THE PUBLIC SAFE. THE BASE STATES THIS DOES RUN AND IS OPERATIONAL.</t>
  </si>
  <si>
    <t>2YTBJQ52340153</t>
  </si>
  <si>
    <t xml:space="preserve">
Sales Order #: 2273753396
RTD Screening Code: DOD
Reason for Rejection: Y9</t>
  </si>
  <si>
    <t>FOR USE BY LEA TO STORE CRIME SCENE PHOTOGRAPHS.</t>
  </si>
  <si>
    <t>2YTMPA52340223</t>
  </si>
  <si>
    <t xml:space="preserve">
Sales Order #: 2273307969
RTD Screening Code: DOD
Reason for Rejection: YG</t>
  </si>
  <si>
    <t>FAN CLUTCH ACTUATOR WILL BE USED BY HOUSTON POLICE OFFICERS IN THE HIGH WATER RESCUE UNIT TO REPAIR DAMAGED AND INOPERATIVE EQUIPMENT ON HOUSTON POLICE HIGH WATER RESCUE TRUCKS TO MAINTAIN MISSION READINESS AND EFFECTIVENESS REGARDING DEPLOYMENT DURING ENVIRONMENTAL DISASTERS IN THE CITY.</t>
  </si>
  <si>
    <t>ACTUATOR,FAN CLUTCH</t>
  </si>
  <si>
    <t>2YTFKH52270238</t>
  </si>
  <si>
    <t xml:space="preserve">
Sales Order #: 2269648108
RTD Screening Code: DOD
Reason for Rejection: Y9</t>
  </si>
  <si>
    <t>DEPUTIES AT THE COFFEE COUNTY SHERIFF'S OFFICE WILL USE THE FORKLIFT TO LOAD AND UNLOAD EVIDENCE AND SEIZED PROPERTY. WITH THE FORKLIFT DEPUTIES WILL SAFELY BE ABLE TO MOVE EVIDENCE AND PROPERTY FOR SAFEKEEPING AND FOR TRANSPORT.</t>
  </si>
  <si>
    <t>2YTCMM52340271</t>
  </si>
  <si>
    <t>USE BY RESCUE AND LE TEAMS FOR FIRST AID AND TEMS TRAINING TO SIMULATE TREATMENT OF INJURED OFFICERS WEARING THESE TRAINING VEST ACCESSORIES</t>
  </si>
  <si>
    <t>2YTMGW52340457</t>
  </si>
  <si>
    <t>USE BY RESCUE AND LE TEAMS FOR FIRST AID AND TEMS TRAINING TO SIMULATE TREATMENT OF INJURED OFFICERS WEARING THESE TRAINING VESTS</t>
  </si>
  <si>
    <t>2YTMGW52340455</t>
  </si>
  <si>
    <t xml:space="preserve">
Sales Order #: 2274049133
RTD Screening Code: DOD
Reason for Rejection: Y9</t>
  </si>
  <si>
    <t>2YTJA952340653</t>
  </si>
  <si>
    <t xml:space="preserve">
Sales Order #: 2274133288
RTD Screening Code: DOD
Reason for Rejection: Y9</t>
  </si>
  <si>
    <t>PSP WILL SUE THESE FOR HIGH RISK WARRANT SERVICES AND BARRICADED GUN MEN CALLS.</t>
  </si>
  <si>
    <t>2YTJA952410808</t>
  </si>
  <si>
    <t xml:space="preserve">
Sales Order #: 2274224904
RTD Screening Code: DOD
Reason for Rejection: Y9</t>
  </si>
  <si>
    <t>FOR THE PROSPECT POLICE DEPT TO ISSUE TO OFFICERS TO WEAR BOTH ON DUTY AND IN TRAINING FOR EYE PROTECTION.</t>
  </si>
  <si>
    <t>2YTJYC52410863</t>
  </si>
  <si>
    <t xml:space="preserve">
Sales Order #: 2274311894
RTD Screening Code: DOD
Reason for Rejection: BQ</t>
  </si>
  <si>
    <t>WASHINGTON COUNTY VA SHERIFF'S OFFICE IS A LAW ENFORCEMENT AGENCY. THE EQUIPMENT WILL BE USED TO STORE, TRANSPORT, AND SECURE EQUIPMENT, FOR LAW ENFORCEMENT PURPOSES ONLY</t>
  </si>
  <si>
    <t>2YTM9Q52410998</t>
  </si>
  <si>
    <t xml:space="preserve">
Sales Order #: 2274311877
RTD Screening Code: DOD
Reason for Rejection: BQ</t>
  </si>
  <si>
    <t>WASHINGTON COUNTY VA SHERIFF'S OFFICE IS A LAW ENFORCEMENT AGENCY. THE GOWNS WILL BE USED AS PROTECTIVE CLOTHING DURING SEARCHES AND BODY RECOVERIES TO PROTECT FROM HAZMAT. THE GOWNS WILL BE USED FOR LAW ENFORCEMENT PURPOSES ONLY,</t>
  </si>
  <si>
    <t>DSMEDSUPC</t>
  </si>
  <si>
    <t>2YTM9Q52410995</t>
  </si>
  <si>
    <t xml:space="preserve">
Sales Order #: 2274311907
RTD Screening Code: DOD
Reason for Rejection: BQ</t>
  </si>
  <si>
    <t>WASHINGTON COUNTY VA SHERIFF'S OFFICE IS A LAW ENFORCEMENT AGENCY. THE EQUIPMENT WILL BE USED TO REPAIR ELECTRICAL EQUIPMENT, FOR LAW ENFORCEMENT PURPOSES ONLY</t>
  </si>
  <si>
    <t>TOOL KIT,ELECTRICAL CONTACT</t>
  </si>
  <si>
    <t>2YTM9Q52341004</t>
  </si>
  <si>
    <t xml:space="preserve">
Sales Order #: 2274311896
RTD Screening Code: DOD
Reason for Rejection: BQ</t>
  </si>
  <si>
    <t>WASHINGTON COUNTY VA SHERIFF'S OFFICE IS A LAW ENFORCEMENT AGENCY. THE EQUIPMENT WILL BE USED TO CLEAN FIREARMS AND EQUIPMENT, FOR LAW ENFORCEMENT PURPOSES ONLY</t>
  </si>
  <si>
    <t>PARTS KIT,CLEANER</t>
  </si>
  <si>
    <t>2YTM9Q52341003</t>
  </si>
  <si>
    <t xml:space="preserve">
Sales Order #: 2274311888
RTD Screening Code: DOD
Reason for Rejection: BQ</t>
  </si>
  <si>
    <t>TOOL KIT,ELECTRICAL</t>
  </si>
  <si>
    <t>2YTM9Q52341001</t>
  </si>
  <si>
    <t xml:space="preserve">
Sales Order #: 2274311908
RTD Screening Code: DOD
Reason for Rejection: BQ</t>
  </si>
  <si>
    <t>WASHINGTON COUNTY VA SHERIFF'S OFFICE IS A LAW ENFORCEMENT AGENCY. THE EQUIPMENT WILL BE USED TO MOVE AND SECURE EQUIPMENT, FOR LAW ENFORCEMENT PURPOSES ONLY.</t>
  </si>
  <si>
    <t>BLOCKS, TACKLE, RIGGING, AND SLINGS</t>
  </si>
  <si>
    <t>DSBLOCK00</t>
  </si>
  <si>
    <t>2YTM9Q52340996</t>
  </si>
  <si>
    <t xml:space="preserve">
Sales Order #: 2274328120
RTD Screening Code: DOD
Reason for Rejection: BQ</t>
  </si>
  <si>
    <t>WASHINGTON COUNTY VA SHERIFF'S OFFICE IS A LAW ENFORCEMENT AGENCY. THE GENERATOR WILL BE USED TO PROVIDE POWER TO NEEDED EQUIPMENT FOR LAW ENFORCEMENT PURPOSES ONLY.</t>
  </si>
  <si>
    <t>2YTM9Q52341056</t>
  </si>
  <si>
    <t xml:space="preserve">THIS VEHICLE WOULD BE USED ON BY LE PERSONNEL TO PERFORM LE FUNCTIONS SUCH AS PATROL.
</t>
  </si>
  <si>
    <t>2YTRSC52341065</t>
  </si>
  <si>
    <t>FOR TRAINING AND PATROL USE</t>
  </si>
  <si>
    <t>2YT0L452411047</t>
  </si>
  <si>
    <t xml:space="preserve">
Sales Order #: 2272124122
RTD Screening Code: DOD
Reason for Rejection: YG</t>
  </si>
  <si>
    <t xml:space="preserve">FEDERAL SCREENER FOR DIVISION WITH 200 LAW ENFORCEMENT AGENTS TO INCLUDE 19 SWAT OPERATORS.  THESE WILL BE MOUNTED TO RIFLES TO ADD WHITE LIGHT AS THERE ARE MANY IN OUR DIVISION WHO DO NOT HAVE ONE.  BUDGET IS LIMITED AND ARE COST PROHIBITIVE TO PURCHASE.   
</t>
  </si>
  <si>
    <t>2YTQY151998282</t>
  </si>
  <si>
    <t xml:space="preserve">
Sales Order #: 2271880447
Reason for Rejection: YG</t>
  </si>
  <si>
    <t>2YTQY151998471</t>
  </si>
  <si>
    <t xml:space="preserve">
Sales Order #: 2251744397
RTD Screening Code: DOD
Reason for Rejection: YG</t>
  </si>
  <si>
    <t>THIS TRUCK WILL BE USED BY THE DRUG INVESTIGATOR TO CONDUCT SURVEILLANCE ON KNOWN DRUG HOUSES AND OR INDIVIDUALS INVOLVED IN THE SALE OF NARCOTICS.</t>
  </si>
  <si>
    <t>2YT1YR52068519</t>
  </si>
  <si>
    <t xml:space="preserve">
Sales Order #: 2272951901
RTD Screening Code: GSA
Reason for Rejection: Z2</t>
  </si>
  <si>
    <t>THE OREGON COUNTY SHERIFF'S OFFICE WILL USE THE STRETCHERS FOR EMERGENCY PERSONNEL MOVEMENT DURING EMERGENCY AND TACTICAL OPERATIONS.</t>
  </si>
  <si>
    <t>2YT15P52209533</t>
  </si>
  <si>
    <t xml:space="preserve">
Sales Order #: 2272901856
RTD Screening Code: DOD
Reason for Rejection: YD</t>
  </si>
  <si>
    <t>TO BE USED BY DHS ICE LAW ENFORCEMENT OFFICERS, SPECIAL RESPONSE TEAMS FOR USE WHILE IN THE FIELD.</t>
  </si>
  <si>
    <t>FIGHTING LOAD CARRI</t>
  </si>
  <si>
    <t>2YTP3E52189860</t>
  </si>
  <si>
    <t>DHS/ICE ERO SRT SAN BERNARDINO (2YTP3E)</t>
  </si>
  <si>
    <t xml:space="preserve">
Sales Order #: 2273391350
RTD Screening Code: DOD
Reason for Rejection: Y9</t>
  </si>
  <si>
    <t>PSP WILL USE THESE ITEMS TO STORE EQUIPMENT THAT IS USED DURING HIGH RISK ENTRY SERVICES AND BARRICADE GUN MEN CALLS.</t>
  </si>
  <si>
    <t>2YTJA952340167</t>
  </si>
  <si>
    <t xml:space="preserve">
Sales Order #: 2273391313
RTD Screening Code: DOD
Reason for Rejection: Y9</t>
  </si>
  <si>
    <t>2YTJA952340166</t>
  </si>
  <si>
    <t xml:space="preserve">
Sales Order #: 2267999699
RTD Screening Code: DOD
Reason for Rejection: Y9</t>
  </si>
  <si>
    <t>FOR THE PROSPECT POLICE DEPT TO PREPARE MASS CASUALTY BAGS FOR RESPONSE TO A MASS CASUALTY INCIDENT.</t>
  </si>
  <si>
    <t>2YTJYC52340246</t>
  </si>
  <si>
    <t xml:space="preserve">
Sales Order #: 2273753387
RTD Screening Code: DOD
Reason for Rejection: Y9</t>
  </si>
  <si>
    <t>FOR USE BY LEA IN CRITICAL POLICE MARKSMANSHIP APPLICATIONS</t>
  </si>
  <si>
    <t>2YTMPA52340229</t>
  </si>
  <si>
    <t xml:space="preserve">
Sales Order #: 2270682601
RTD Screening Code: DOD
Reason for Rejection: Y9</t>
  </si>
  <si>
    <t>THIS ITEM WILL BE USED EXCLUSIVELY BY LEOS FROM THIS LEA. THIS ITEM WILL BE ISSUED TO EACH OFFICER OF THIS LEA TO BE DEPLOYED DURING ACTIVE SHOOTER, MASS CASUALTY INCIDENTS, AND OFFICER INJURED SCENARIOS.</t>
  </si>
  <si>
    <t>2YTK2052340291</t>
  </si>
  <si>
    <t xml:space="preserve">
Sales Order #: 2273391357
RTD Screening Code: DOD
Reason for Rejection: Y9</t>
  </si>
  <si>
    <t>ITEMS WILL BE USED BY MEMBER OF THE TOWN OF KENT POLICE DEPARTMENT DURING EMERGENCY SITUATIONS TO RENDER AID TO THEMSELVES OR OTHERS.   WE UNDERSTAND SOME ITEMS IN THIS KIT MAY BE EXPIRED BUT THE OTHER ITEMS INCLUDED ARE STILL OF USE TO THIS DEPARTMENT</t>
  </si>
  <si>
    <t>2YTF5U52340299</t>
  </si>
  <si>
    <t>FOR USE BY FCSO PATROL AND SWAT OFFICERS TO MANAGE TRAUMA MEDICAL SITUATIONS WHILE ON DUTY</t>
  </si>
  <si>
    <t>2YTDXH52340333</t>
  </si>
  <si>
    <t xml:space="preserve">
Sales Order #: 2260526984
RTD Screening Code: DOD
Reason for Rejection: Y9</t>
  </si>
  <si>
    <t>TO BE UTILIZED BY THIS LAW ENFORCEMENT AGENCY TO HELP WITH MEDICAL EMERGENCIES FOR INJURED OFFICERS.  THIS ITEM WILL BE ASSIGNED TO OFFICERS IN THE FIELD AND PROVIDE A MEANS OF MEDICAL ATTENTION.</t>
  </si>
  <si>
    <t>2YTFKZ52340410</t>
  </si>
  <si>
    <t>HOWELL TOWNSHIP POLICE DEPT (2YTFKZ)</t>
  </si>
  <si>
    <t xml:space="preserve">
Sales Order #: 2269411890
RTD Screening Code: DOD
Reason for Rejection: Y9</t>
  </si>
  <si>
    <t>THE CLARKE COUNTY SHERIFF'S OFFICE WOULD LIKE TO ACQUIRE THIS EQUIPMENT TO BE UTILIZED BY OUR OFFICERS TO SECURE EQUIPMENT AND LASH DOWN ITEMS. THIS EQUIPMENT WOULD ALLOW OUR OFFICERS THE ABILITY TO UTILIZE THIS AS OR FOR MISSION SPECIFIC NEEDS.</t>
  </si>
  <si>
    <t>FIBER ROPE, CORDAGE, AND TWINE</t>
  </si>
  <si>
    <t>DSFIBERRO</t>
  </si>
  <si>
    <t>2YTCFW52340405</t>
  </si>
  <si>
    <t xml:space="preserve">
Sales Order #: 2260526991
RTD Screening Code: DOD
Reason for Rejection: Y9</t>
  </si>
  <si>
    <t>TO BE UTILIZED BY THE BERKELEY COUNTY SHERIFFS OFFICE FOR A LAW ENFORCEMENT PURPOSE.  THESE FIRST AID KITS WILL BE UTILIZED BY OUR DEPUTIES TO EITHER SAVE THEIR OWN LIFE OR THE LIFE OF ANOTHER.   ONE KIT CAN BE PLACED IN EACH CRUISER ACROSS THE STATE TO MAKE THESE ACCESSIBLE AT ALL TIMES.</t>
  </si>
  <si>
    <t>2YTN6M52340417</t>
  </si>
  <si>
    <t xml:space="preserve">
Sales Order #: 2274224902
RTD Screening Code: DOD
Reason for Rejection: Y9</t>
  </si>
  <si>
    <t>REQUESTING AGENCY NEEDS THIS EQUIPMENT.  FOR USE BY REQUESTING AGENCY.  WILL BE ISSUED TO LAW ENFORCEMENT OFFICERS FOR DUTY USE AS FIRST AID EQUIPMENT DURING CRITICAL INCIDENTS AND TREATING INJURED PERSONS. WILL BE USED FOR DUTY USE ONLY.</t>
  </si>
  <si>
    <t>2YTHYA52340572</t>
  </si>
  <si>
    <t xml:space="preserve">
Sales Order #: 2273864447
RTD Screening Code: DOD
Reason for Rejection: Y9</t>
  </si>
  <si>
    <t>ITEMS WILL USED FOR LAW ENFORCEMENT PURPOSES ONLY. ITEMS WILL BE USED BY OFFICERS IN THE FIELD TO AID IN BLEEDING CONTROL ON TRAUMATIC INJURIES DURING LAW ENFORCEMENT DUTIES.</t>
  </si>
  <si>
    <t>2YTD7D52340622</t>
  </si>
  <si>
    <t xml:space="preserve">
Sales Order #: 2274138017
RTD Screening Code: DOD
Reason for Rejection: Y9</t>
  </si>
  <si>
    <t>WASHINGTON COUNTY SHERIFF'S OFFICE IS A LAW ENFORCEMENT AGENCY IN THE STATE OF VIRGINIA. OUR AGENCY COULD USE THIS PICK-UP FOR PATROLING AND TRANSPORTING PRISIONERS. THIS VEHICLE WILL BE USE BY LAW ENFORCEMENT PERSONNEL.</t>
  </si>
  <si>
    <t>2YTM9Q52410749</t>
  </si>
  <si>
    <t xml:space="preserve">
Sales Order #: 2274133101
RTD Screening Code: DOD
Reason for Rejection: Y9</t>
  </si>
  <si>
    <t>THIS VEHICLE WOULD HELP COMBAT THE WAR ON DRUGS. TELLICO POLICE WILL ASSUME ALL COST AND EXPENSES.</t>
  </si>
  <si>
    <t>2YTLRG52410773</t>
  </si>
  <si>
    <t xml:space="preserve">
Sales Order #: 2274231079
RTD Screening Code: DOD
Reason for Rejection: Y9</t>
  </si>
  <si>
    <t>THE NORTHAMPTON COUNTY SHERIFF'S OFFICE REQUESTS THIS EQUIPMENT BE ISSUED TO OUR AGENCY.  THIS PIECE OF EQUIPMENT WILL BE ISSUED TO OUR NARCOTICS DIVISION FOR USE IN SURVEILLANCE ON CRIMINAL SUSPECTS.  THIS PIECE OF EQUIPMENT WILL ALLOW OFFICERS TO SURVEIL SUSPECTS WITHOUT BEING SEEN.  IT WILL ALSO ALLOW OFFICERS MORE SAFETY AS THEY WILL NOT HAVE TO BE AS CLOSE TO THE SUSPECTS, WHO ARE OFTEN ARMED.</t>
  </si>
  <si>
    <t>DRONES</t>
  </si>
  <si>
    <t>DSDRONES0</t>
  </si>
  <si>
    <t>2YT1QG52410743</t>
  </si>
  <si>
    <t xml:space="preserve">
Sales Order #: 2271214783
RTD Screening Code: DOD
Reason for Rejection: Y9</t>
  </si>
  <si>
    <t>TO BE USED BY OFFICERS OF THE OCEANPORT POLICE DEPARTMENT ONLY. THIS PICK UP TRUCK WILL BE VITAL TO OUR DEPARTMENTS' SPECIALIZED UNITS. IT WILL BE USED TO TRANSPORT TRAFFIC CONES AND  BARRICADES, TOW SIGN BOARDS AND BE UTILIZED DURING SPECIAL EVENTS AND INCLEMENT WEATHER.</t>
  </si>
  <si>
    <t>2YT1XT52410872</t>
  </si>
  <si>
    <t>FOR USE BY ON DUTY OSD OFFICERS FOR PATROL AND TO TOW EQUIPMENT TRAILERS FOR DEPLOYMENT TO MAJOR INCIDENT SCENES, SWAT SCENES, AND RESCUE SCENES. CURRENTLY THERE ARE MORE EQUIPMENT TRAILERS THAN THERE ARE TOW CAPABLE VEHICLES WITHIN THE RESPONSE GROUP.</t>
  </si>
  <si>
    <t>2YT1WK52410954</t>
  </si>
  <si>
    <t xml:space="preserve">
Sales Order #: 2274140355
RTD Screening Code: DOD
Reason for Rejection: Y9</t>
  </si>
  <si>
    <t>THIS VEHICLE WILL BE USED BY OUR INVESTIGATORS AND DRUG UNIT TO HAUL EVIDENCE AND LARGE AMOUNTS OF MARIJUANA THAT HAVE BEEN FOUND GROWING IN THE FIELD'S RURAL COMMUNITY.</t>
  </si>
  <si>
    <t>2YTC3B52410910</t>
  </si>
  <si>
    <t>DALEVILLE POLICE DEPT (2YTC3B)</t>
  </si>
  <si>
    <t xml:space="preserve">
Sales Order #: 2274396643
RTD Screening Code: DOD
Reason for Rejection: BQ</t>
  </si>
  <si>
    <t>THESE WILL BE USED BY DEPUTIES FOR PATROLS TO PROVIDE SAFETY AND SECURITY TO THE PUBLIC.  THEY WILL ALSO BE USED TO CARRY SUPPLIES DURING SEARCH AND RESCUE OPERATIONS.</t>
  </si>
  <si>
    <t>2YTNUS52411128</t>
  </si>
  <si>
    <t xml:space="preserve">
Sales Order #: 2274399632
RTD Screening Code: DOD
Reason for Rejection: BQ</t>
  </si>
  <si>
    <t>2YTNUS52341130</t>
  </si>
  <si>
    <t xml:space="preserve">
Sales Order #: 2274396644
RTD Screening Code: DOD
Reason for Rejection: BQ</t>
  </si>
  <si>
    <t>2YTNUS52341129</t>
  </si>
  <si>
    <t xml:space="preserve">
Sales Order #: 2274312852
RTD Screening Code: DOD
Reason for Rejection: Y9</t>
  </si>
  <si>
    <t>THE SCOTLAND COUNT SHERIFF'S OFFICE IS LOOKING FOR A DRONE TO ASSIST THE AGENCY WITH BOTH TACTICAL AND SEARCH AND RESCUE OPERATIONS.  THIS EQUIPMENT IS ESSENTIAL TO HELPING DEPUTIES ACCOMPLISH THEIR MISSIONS SAFELY AND EFFECTIVELY.</t>
  </si>
  <si>
    <t>2YTKUK52411132</t>
  </si>
  <si>
    <t xml:space="preserve">
Sales Order #: 2274396637
RTD Screening Code: DOD
Reason for Rejection: Y9</t>
  </si>
  <si>
    <t>RCSO NEEDS THIS EQUIPMENT TO ASSIST WITH OF ROAD SEARCH AND RESCUE AS WELL AS NARCOTICS INVESTIGATIONS WHERE ILLEGAL GROW LOCATIONS ARE OFF GRID AND A STANDARD VEHICLES CANNOT ACCESS. THE ADDITION OF THIS EQUIPMENT WILL HELP MAINTAIN A HIGH LEVEL OF READINESS WHEN NEED ARISES.</t>
  </si>
  <si>
    <t>2YTJ7852411174</t>
  </si>
  <si>
    <t xml:space="preserve">
Sales Order #: 2274328126
RTD Screening Code: DOD
Reason for Rejection: Y9</t>
  </si>
  <si>
    <t>WOULD ASSIST WITH OUR AGENCY IN COMMUNITY RELATION EVENTS, ASSIST WITH GETTING IN AREAS WHERE DRUGS ARE BEING GROWN AND PEOPLE ARE HIDING ILLEGAL ITEMS TO BE DROPPED IN PRISONS. THIS WOULD ASSIST WITH 10-33 PROGRAM</t>
  </si>
  <si>
    <t>2YTJYV52411121</t>
  </si>
  <si>
    <t>PULASKI COUNTY SHERIFFS OFFICE (2YTJYV)</t>
  </si>
  <si>
    <t>THE LEVEL PLAINS POLICE DEPT WOULD UTILZE DURING HURRICANES, TORNADOES, MISSING CHILDREN AND ELDERY RESCUE AND DURING EVACUTIONS AT THE RIVER AS WELL.</t>
  </si>
  <si>
    <t>2YTRNR52411183</t>
  </si>
  <si>
    <t>THESE VIPER II RANGE FINDER BINOCULARS WILL BE USED BY FBI AVIATION SURVEILLANCE ASSETS. THEY WILL PROVIDE DISTANCE AND ANGLE DURING OBSERVATION OF TARGETS.</t>
  </si>
  <si>
    <t>2YTMSD52341238</t>
  </si>
  <si>
    <t xml:space="preserve">
Sales Order #: 2269648094
RTD Screening Code: DOD
Reason for Rejection: Y9</t>
  </si>
  <si>
    <t>WASHINGTON COUNTY SHERIFF'S OFFICE IS A LAW ENFORCEMENT AGENCY IN THE STATE OF VIRGINIA. OUR AGENCY COULD USE THIS RAM PICK-UP FOR PATROLING AND PRISIONER TRANSPORTS. THIS VEHICLE WILL BE USE BY LAW ENFORCEMENT PERSONNEL.</t>
  </si>
  <si>
    <t>2YTM9Q52340151</t>
  </si>
  <si>
    <t xml:space="preserve">
Sales Order #: 2272913501
RTD Screening Code: DOD
Reason for Rejection: Y9</t>
  </si>
  <si>
    <t>2YTL1552340177</t>
  </si>
  <si>
    <t xml:space="preserve">
Sales Order #: 2272728370
RTD Screening Code: DOD
Reason for Rejection: Y9</t>
  </si>
  <si>
    <t>FOR USE BY THIS AGENCY, ORANGE POLICE ONLY. THE VEHICLE WILL BE ASSIGNED TO K9 UNIT FOR USE IN DAILY OPERATIONS AS WELL AS RESPONSE TO VARIOUS INPROGRESS INCIDENTS. ITS PURPOSE IS TO PROVIDE K9 NARCOTICS DETECTIVE WITH A STANDARDIZED AND FULLY EQUIPPED PLATFORM TO SUPPORT EFFICIENT AND EFFECTIVE FIELD OPERATIONS. ADDITIONALLY, THE VEHICLE WILL ENSURE THE SECURE AND ORGANIZED STORAGE OF ESSENTIAL DOCUMENTS, INVESTIGATIVE TOOLS, AND SPECIALIZED EQUIPMENT FOR EVIDENCE HANDLING AND CASE MANAGEMENT.</t>
  </si>
  <si>
    <t>2YT15D52340119</t>
  </si>
  <si>
    <t xml:space="preserve">
Sales Order #: 2272394007
RTD Screening Code: DOD
Reason for Rejection: Y9</t>
  </si>
  <si>
    <t>REQUESTED BY NORTH MYRTLE BEACH POLICE DEPARTMENT TO BE USED BY NMB POLICE DEPARTMENT OFFICERS FOR TRANSPORTATION OF AGENCY EQUIPMENT.</t>
  </si>
  <si>
    <t>2YT1PG52340117</t>
  </si>
  <si>
    <t xml:space="preserve">
Sales Order #: 2269648106
RTD Screening Code: DOD
Reason for Rejection: Y9</t>
  </si>
  <si>
    <t>THE POLICE DEPARTMENT REQUESTS THIS PICKUP TRUCK ALREADY SET UP FOR OUR NEW K-9 UNIT TO TRANSPORT POLICE DOG AND HANDLER DURING OPERATIONS, PATROLS, AND SEARCHES IN DIVERSE TERRAINS. THIS ENHANCES OFFICER AND K9S SAFETY BY ENSURING SECURE, RELIABLE MOBILITY IN RUGGED AREAS, REDUCING EXPOSURE TO HAZARDS. THE TRUCK WILL BE USED EXCLUSIVELY BY OUR DEPARTMENT'S OFFICER AND K9.</t>
  </si>
  <si>
    <t>2YTH3452340173</t>
  </si>
  <si>
    <t xml:space="preserve">
Sales Order #: 2273391349
RTD Screening Code: DOD
Reason for Rejection: Y9</t>
  </si>
  <si>
    <t>THE MADISONVILLE POLICE DEPARTMENT IS REQUESTING THIS VEHICLE FOR USE BY OUR OFFICERS. OUR DEPARTMENT IS CURRENTLY  TRYING TO START A NARCOTICS AND TRACKING K9 PROGRAM. THIS VEHICLE HAVING THE K9 TRANSPORT SYSTEM WOULD BE A GREAT ASSET TO THAT PROGRAM. DUE TO BUDGET CONSTRAINTS WE ARE CURRENTLY UNABLE TO PURCHASE MUCH NEEDED EQUIPMENT LIKE THIS UNIT. THANKS</t>
  </si>
  <si>
    <t>2YTG5752340144</t>
  </si>
  <si>
    <t xml:space="preserve">
Sales Order #: 2272913504
RTD Screening Code: DOD
Reason for Rejection: Y9</t>
  </si>
  <si>
    <t>DALE COUNTY SHERIFF'S OFFICE IS REQUESTING THIS K9 VEHICLE FOR OUR DEPUTIES TO TRANSPORT AND PATROL WITH OUR K9 PARTNERS.</t>
  </si>
  <si>
    <t>2YTC2852340165</t>
  </si>
  <si>
    <t xml:space="preserve">
Sales Order #: 2273391344
RTD Screening Code: DOD
Reason for Rejection: Y9</t>
  </si>
  <si>
    <t>REQUESTED BY SCDPS TO BE USED BY SCDPS LAW ENFORCEMENT OFFICERS AS EYE PROTECTION DURING RANGE ACTIVITIES AND TRAINING EXERCISES.</t>
  </si>
  <si>
    <t>2YTKTF52340243</t>
  </si>
  <si>
    <t xml:space="preserve">
Sales Order #: 2273658811
RTD Screening Code: DOD
Reason for Rejection: Y9</t>
  </si>
  <si>
    <t>AN ALL-TERRAIN VEHICLE WOULD GREATLY ENHANCE OUR EFFICIENCY AND COMMUNITY ENGAGEMENT. IN SEARCH AND RESCUE MISSIONS, THE ATV WOULD ALLOW OFFICERS TO ACCESS REMOTE AREAS QUICKLY, MAKING IT EASIER TO LOCATE MISSING INDIVIDUALS OR REACH THOSE IN NEED DURING EMERGENCIES. AT COMMUNITY EVENTS LIKE FAIRS AND PARADES, THE ATV COULD SERVE AS A MOBILE PLATFORM TO INTERACT WITH RESIDENTS, PROMOTE SAFETY AWARENESS, AND STRENGTHEN COMMUNITY BONDS.</t>
  </si>
  <si>
    <t>2YTD1D52340206</t>
  </si>
  <si>
    <t xml:space="preserve">
Sales Order #: 2273588449
RTD Screening Code: DOD
Reason for Rejection: Y9</t>
  </si>
  <si>
    <t>AS A SMALL UNDER FUNDED POLICE DEPARTMENT, THIS TRAILER COULD BE USED TO HELP STORE AND TRANSPORT MATERIALS AND SUPPLIES TO SUPPORT COMMUNITY ENGAGEMENT ACTIVITIES.</t>
  </si>
  <si>
    <t>2YTD1D52340205</t>
  </si>
  <si>
    <t xml:space="preserve">
Sales Order #: 2268296807
RTD Screening Code: DOD
Reason for Rejection: Y9</t>
  </si>
  <si>
    <t>ALPENA COUNTY SHERIFF'S OFFICE 
USED TO MOVE SUPPLIES</t>
  </si>
  <si>
    <t>2YTAG352340235</t>
  </si>
  <si>
    <t xml:space="preserve">
Sales Order #: 2272728379
RTD Screening Code: DOD
Reason for Rejection: Y9</t>
  </si>
  <si>
    <t>2YTLC052340364</t>
  </si>
  <si>
    <t>THIS EQUIPMENT WILL BE UTILIZED BY POLICE PERSONNEL TO CONTROL TRAFFIC FLOW AT EVENTS TO INCREASE SECURITY.</t>
  </si>
  <si>
    <t>2YT1RJ52340352</t>
  </si>
  <si>
    <t xml:space="preserve">
Sales Order #: 2273952213
RTD Screening Code: DOD
Reason for Rejection: Y9</t>
  </si>
  <si>
    <t>2YT1RJ52340350</t>
  </si>
  <si>
    <t xml:space="preserve">
Sales Order #: 2273307968
RTD Screening Code: DOD
Reason for Rejection: Y9</t>
  </si>
  <si>
    <t>ITEMS WILL BE UTILIZED AS SAFETY EQUIPMENT DURING FIREARMS AND TACTICS AND TASER  TRAININGS BY MEMBERS OF THE TOWN OF KENT POLICE DEPARTMENT</t>
  </si>
  <si>
    <t>2YTF5U52340301</t>
  </si>
  <si>
    <t xml:space="preserve">
Sales Order #: 2274138040
RTD Screening Code: DOD
Reason for Rejection: Y9</t>
  </si>
  <si>
    <t>THIS ALL TERRAIN VEHICLE, 4 WHEEL IS REQUESTED BY HOLLY HILL PD FOR USE BY HOLLY HILL PD OFFICERS DURING SEARCH AND RESCUE MISSIONS AND OFF ROAD FUGITIVE APPREHENSION.</t>
  </si>
  <si>
    <t>2YTRSD52340317</t>
  </si>
  <si>
    <t xml:space="preserve">
Sales Order #: 2267889166
RTD Screening Code: DOD
Reason for Rejection: Y9</t>
  </si>
  <si>
    <t>2YTRSD52340316</t>
  </si>
  <si>
    <t xml:space="preserve">
Sales Order #: 2260526983
RTD Screening Code: DOD
Reason for Rejection: Y9</t>
  </si>
  <si>
    <t>THIS TRAILER IS REQUESTED BY HOLLY HILL PD FOR USE BY HOLLY HILL PD OFFICERS TO STORE AND TRANSPORT EQUIPMENT TO VARIOUS SCENES SUCH AS SEARCH AND RESCUE.</t>
  </si>
  <si>
    <t>2YTRSD52340314</t>
  </si>
  <si>
    <t xml:space="preserve">
Sales Order #: 2269648100
RTD Screening Code: DOD
Reason for Rejection: Y9</t>
  </si>
  <si>
    <t>THIS ITEM IS INTENDED FOR USE BY THE GLEASON POLICE DEPARTMENT ONLY. THIS ITEM WOULD BE USED IN CONJUNCTION WITH LAW ENFORCEMENT DUTIES. THE ITEM WOULD BE USED TO LOOK FOR MISSING CHILDREN IN OUR RURAL AREA. THIS ITEM WOULD ALSO BE USED TO LOCATE SUBJECTS OF INTEREST AND TRANSPORT OFFICERS TO RURAL AREAS FOR SEARCH OPERATIONS.</t>
  </si>
  <si>
    <t>2YTEMC52340354</t>
  </si>
  <si>
    <t xml:space="preserve">
Sales Order #: 2268296800
RTD Screening Code: DOD
Reason for Rejection: Y9</t>
  </si>
  <si>
    <t>THE FULTON POLICE DEPARTMENT WOULD USE THE VEHICLE FOR CRIME SCENE INVESTIGATIONS AND CRIME SCENE EQUIPMENT STORAGE AND DEPLOYMENT.</t>
  </si>
  <si>
    <t>2YTQN152340342</t>
  </si>
  <si>
    <t xml:space="preserve">
Sales Order #: 2274049126
RTD Screening Code: DOD
Reason for Rejection: Y9</t>
  </si>
  <si>
    <t>THE FULTON POLICE DEPARTMENT IS LOCATED IN A RURAL AREA AND HAS A LOT OF WOODS AND FIELDS IN IT'S JURISDICTION.  THIS ITEM WOULD BE USED TO FACILITATE SEARCHES FOR MISSING OR ENDANGERED INDIVIDUALS, AS WELL AS FLEEING SUSPECTS, IN AREAS THAT ARE NOT ACCESSIBLE WITH TRADITIONAL PATROL VEHICLES.</t>
  </si>
  <si>
    <t>2YTQN152340339</t>
  </si>
  <si>
    <t xml:space="preserve">
Sales Order #: 2273658816
RTD Screening Code: DOD
Reason for Rejection: Y9</t>
  </si>
  <si>
    <t>THE FAYETTEVILLE POLICE DEPARTMENT COULD GREATLY BENEFIT FROM UTILIZING AN ALL-TERRAIN VEHICLE ATV TO ENHANCE THEIR EFFICIENCY AND COMMUNITY ENGAGEMENT. IN SEARCH AND RESCUE MISSIONS, THE ATV WOULD ALLOW OFFICERS TO ACCESS REMOTE AREAS QUICKLY, MAKING IT EASIER TO LOCATE MISSING INDIVIDUALS OR REACH THOSE IN NEED DURING EMERGENCIES. AT COMMUNITY EVENTS LIKE FAIRS AND PARADES, THE ATV COULD SERVE AS A MOBILE PLATFORM TO INTERACT WITH RESIDENTS, PROMOTE SAFETY AWARENESS, AND STRENGTHEN COMMUNITY</t>
  </si>
  <si>
    <t>2YTD1D52340250</t>
  </si>
  <si>
    <t xml:space="preserve">
Sales Order #: 2273588448
RTD Screening Code: DOD
Reason for Rejection: Y9</t>
  </si>
  <si>
    <t>2YTD1D52340249</t>
  </si>
  <si>
    <t>FOR USE BY FCSO PATROL AND SWAT OFFICERS DURING TRAINING AND RANGE OPERATIONS AS PROTECTIVE EQUIPMENT</t>
  </si>
  <si>
    <t>2YTDXH52340335</t>
  </si>
  <si>
    <t>2YTMGW52340261</t>
  </si>
  <si>
    <t xml:space="preserve">
Sales Order #: 2269648102
RTD Screening Code: DOD
Reason for Rejection: Y9</t>
  </si>
  <si>
    <t>2YTCMM52340276</t>
  </si>
  <si>
    <t xml:space="preserve">
Sales Order #: 2267889153
RTD Screening Code: DOD
Reason for Rejection: Y9</t>
  </si>
  <si>
    <t xml:space="preserve">THIS WILL BE USED AT THE SHERIFF'S OFFICE TO UNLOAD AND MOVE AMMUNITION AND OTHER LAW ENFORCEMENT EQUIPMENT IN OUR WAREHOUSE.
</t>
  </si>
  <si>
    <t>2YTNUS52340430</t>
  </si>
  <si>
    <t xml:space="preserve">
Sales Order #: 2267889161
RTD Screening Code: DOD
Reason for Rejection: Y9</t>
  </si>
  <si>
    <t>THE SHERIFF'S OFFICE WILL USE THIS TO TRANSPORT EVIDENCE FOR DESTRUCTION TO OUR LANDFILL.</t>
  </si>
  <si>
    <t>2YTNUS52340323</t>
  </si>
  <si>
    <t xml:space="preserve">
Sales Order #: 2269411881
RTD Screening Code: DOD
Reason for Rejection: Y9</t>
  </si>
  <si>
    <t>WEBB PD WILL USE THIS EQUIPMENT TO MOVE RESCUE EQUIPMENT TO ON SITE NATURAL DISASTER LOCATIONS.</t>
  </si>
  <si>
    <t>2YTRL452340463</t>
  </si>
  <si>
    <t xml:space="preserve">
Sales Order #: 2270093538
RTD Screening Code: DOD
Reason for Rejection: Y9</t>
  </si>
  <si>
    <t>THIS LAW ENFORCEMENT AGENCY WOULD UTILIZE THIS ITEM FOR TRANSPORT OF ESSENTIAL EQUIPMENT AND SUPPLIES FOR EMERGENCY SITUATIONS.  THIS WOULD BE USED BY SWORN LAW ENFORCEMENT OFFICERS.  THANK YOU FOR YOUR CONSIDERATION.</t>
  </si>
  <si>
    <t>2YTLQT52340423</t>
  </si>
  <si>
    <t xml:space="preserve">
Sales Order #: 2269755131
RTD Screening Code: DOD
Reason for Rejection: Y9</t>
  </si>
  <si>
    <t>THIS LAW ENFORCEMENT AGENCY WOULD UTILIZE THIS ITEM FOR TRANSPORT OF EQUIPMENT AND LAW ENFORCEMENT OFFICERS TO AND FROM OFF-ROAD EMERGENCY INCIDENTS.  IT WOULD BE USED BY SWORN LAW ENFORCEMENT OFFICERS.  THANK YOU FOR YOUR CONSIDERATION.</t>
  </si>
  <si>
    <t>2YTLQT52340422</t>
  </si>
  <si>
    <t xml:space="preserve">
Sales Order #: 2260526985
RTD Screening Code: DOD
Reason for Rejection: Y9</t>
  </si>
  <si>
    <t>FOR USE BY REQUESTING AGENCY.  WILL BE ISSUED TO PATROL OFFICERS-SWAT MEMBERS FOR RADIO COMMUNICATION CAPABILITIES DURING SWAT OPERATIONS.  WILL BE USED FOR LAW ENFORCEMENT PURPOSES ONLY.  THESE HEADSETS ARE COMPATIBLE WITH THE MOTOROLA RADIOS THAT OUR DEPARTMENT IS ISSUED.</t>
  </si>
  <si>
    <t>2YTHYA52340413</t>
  </si>
  <si>
    <t xml:space="preserve">
Sales Order #: 2269648105
RTD Screening Code: DOD
Reason for Rejection: Y9</t>
  </si>
  <si>
    <t>THESE HEADSETS WILL BE USED BY OUR SRT OPERATORS DURING OPERATIONS AND TRAINING TO PROVIDE AMPLIFIED HEARING PROTECTION AS WELL AS THE ABILITY TO COMMUNICATE OVER THE RADIO.</t>
  </si>
  <si>
    <t>2YTHDF52340384</t>
  </si>
  <si>
    <t xml:space="preserve">
Sales Order #: 2269755141
RTD Screening Code: DOD
Reason for Rejection: Y9</t>
  </si>
  <si>
    <t>2YTEUJ52340401</t>
  </si>
  <si>
    <t xml:space="preserve">
Sales Order #: 2269755140
RTD Screening Code: DOD
Reason for Rejection: Y9</t>
  </si>
  <si>
    <t>2YTEUJ52340398</t>
  </si>
  <si>
    <t xml:space="preserve">
Sales Order #: 2274049120
RTD Screening Code: DOD
Reason for Rejection: Y9</t>
  </si>
  <si>
    <t>ALPENA COUNTY SHERIFFS DEPARTMENT TO BE USED FOR POWER OUTAGES</t>
  </si>
  <si>
    <t>2YTAG352340489</t>
  </si>
  <si>
    <t xml:space="preserve">
Sales Order #: 2273970648
RTD Screening Code: DOD
Reason for Rejection: Y9</t>
  </si>
  <si>
    <t>THE NORWALK POLICE DEPARTMENT WOULD USE THIS FOR EMERGENCY POWER WHEN OUR BUILDING'S POWER GOES OUT. IT'S NEEDED TO MAINTAIN POLICE SERVICES.</t>
  </si>
  <si>
    <t>2YTQZD52340635</t>
  </si>
  <si>
    <t xml:space="preserve">
Sales Order #: 2274152801
RTD Screening Code: DOD
Reason for Rejection: Y9</t>
  </si>
  <si>
    <t>OUR AGENCY NEEDS THIS EQUIPMENT. WILL BE USED BY REQUESTING AGENCY FOR LAW ENFORCEMENT PURPOSES ONLY.  EQUIPMENT WILL BE ISSUED TO PATROL - SWAT MEMBERS FOR COMMUNICATIONS AND HEARING PROTECTION DURING OPERATIONS.</t>
  </si>
  <si>
    <t>2YTHYA52340608</t>
  </si>
  <si>
    <t xml:space="preserve">
Sales Order #: 2274328110
RTD Screening Code: DOD
Reason for Rejection: Y9</t>
  </si>
  <si>
    <t>THESE DEVICES WOULD BE UTILIZED BY OUR SWAT TEAM IN CONJUNCTION WITH OUR NIGHT VISION PROGRAM.  THESE ITEMS WOULD BE CONTROLLED AND INVENTORIED ANNUALLY.  WE ARE FAMILIAR WITH THESE UNITS USE AND REPAIR.  I ACKNOWLEDGE THE CONDITION OF THESE UNITS AND I HAVE CONTACTED THE ON-SITE MANAGER WHERE THESE ARE LOCATED AND CONFIRMED THE FUNCTIONALITY OF THESE DEVICES.</t>
  </si>
  <si>
    <t>2YTRQQ52340695</t>
  </si>
  <si>
    <t xml:space="preserve">
Sales Order #: 2274311905
RTD Screening Code: DOD
Reason for Rejection: Y9</t>
  </si>
  <si>
    <t>2YTRQQ52340694</t>
  </si>
  <si>
    <t xml:space="preserve">
Sales Order #: 2274311878
RTD Screening Code: DOD
Reason for Rejection: Y9</t>
  </si>
  <si>
    <t>WILL BE UTILIZED BY DEA SRT ON ENFORCMENT OPERATIONS ON A WEEKLY BASIS</t>
  </si>
  <si>
    <t>2YTQK952340831</t>
  </si>
  <si>
    <t>FOR USE BY RESCUE AND LE TEAMS FOR TRAINING AND OPERATIONS TO SEE IN LOW LIGHT FOR OFFICER SAFETY, CLEARING ROOMS AND OUTDOORS, LOOKING FOR INJURED PERSONNEL</t>
  </si>
  <si>
    <t>2YTMGW52340889</t>
  </si>
  <si>
    <t xml:space="preserve">
Sales Order #: 2274328109
RTD Screening Code: DOD
Reason for Rejection: Y9</t>
  </si>
  <si>
    <t>2YTASC52341108</t>
  </si>
  <si>
    <t xml:space="preserve">
Sales Order #: 2274248972
RTD Screening Code: DOD
Reason for Rejection: Y9</t>
  </si>
  <si>
    <t>2YTKUK52411133</t>
  </si>
  <si>
    <t>THE ROCHESTER POLICE DEPARTMENT WILL USE THIS ITEM TO HOLD AND CARRY HEAVY AND LARGE ITEMS THAT ARE NORMALLY TOO AWKWARD TO HANDLE.</t>
  </si>
  <si>
    <t>RUCKSACK LARGE FIELD</t>
  </si>
  <si>
    <t>2YTKCC52341262</t>
  </si>
  <si>
    <t xml:space="preserve">
Sales Order #: 2271768800
RTD Screening Code: DOD
Reason for Rejection: YH</t>
  </si>
  <si>
    <t>USE FOR EOD CALL OUTS AND QUICK RESPONSE AND SPECIAL EVENTS</t>
  </si>
  <si>
    <t>2YTF9952348510</t>
  </si>
  <si>
    <t xml:space="preserve">
Sales Order #: 2272566489
RTD Screening Code: DOD
Reason for Rejection: YH</t>
  </si>
  <si>
    <t>THE GYM EQUIPMENT WILL BE USED BY THE ARP POLICE DEPARTMENT FOR LAW ENFORCEMENT PURPOSES ONLY. ARP PD HAS AN OFFICER WELLNESS PROGRAM THAT ALLOWS OFFICERS TO WORKOUT ON DUTY.</t>
  </si>
  <si>
    <t>2YTANX52209203</t>
  </si>
  <si>
    <t xml:space="preserve">
Sales Order #: 2272813340
RTD Screening Code: DOD
Reason for Rejection: YD</t>
  </si>
  <si>
    <t>THIS ASSET WOULD BENEFIT OUR OFFICERS AND AGENCY BY ALLOWING US TO UTILIZE IT TO MAINTAIN AND FURHTER EXPAND OUR RANGE FOR CONTINUED TRAINING. THIS ASSET WOULD ALSO ASSIST US IN BUILDING ADDITIONAL TRAINING BUILDINGS AND CLEARING OFF EXISTING BUILDINGS FROM FALLEN TREES AND BRANCHES. WE WOULD FIX THIS ITEM IF NEEDED</t>
  </si>
  <si>
    <t>SHELTER,LMS,TY I</t>
  </si>
  <si>
    <t>2YTS0852209471</t>
  </si>
  <si>
    <t xml:space="preserve">
Sales Order #: 2269590488
RTD Screening Code: DOD
Reason for Rejection: YG</t>
  </si>
  <si>
    <t>NEEDED FOR USE DURRING TRAINING FOR DEPUTIES AND SWAT.</t>
  </si>
  <si>
    <t>2YTGK952209484</t>
  </si>
  <si>
    <t xml:space="preserve">
Sales Order #: 2272850517
RTD Screening Code: DOD
Reason for Rejection: YG</t>
  </si>
  <si>
    <t>2YTPUC52209456</t>
  </si>
  <si>
    <t xml:space="preserve">
Sales Order #: 2270682547
Reason for Rejection: YG</t>
  </si>
  <si>
    <t>THESE RAIL KITS WILL BE USED TO UPDATE OUR PATROL RIFLES SO THAT PATROL OFFICERS CAN PUT LIGHTS AND GRIPS ON THEIR DUTY PATROL RIFLES.</t>
  </si>
  <si>
    <t>2YTHDF52209649</t>
  </si>
  <si>
    <t xml:space="preserve">
Sales Order #: 2272901828
RTD Screening Code: DOD
Reason for Rejection: YG</t>
  </si>
  <si>
    <t>THE ERIN POLICE DEPARTMENT WOULD LIKE TO ACQUIRE THIS VEHICLE FOR USE AS A RESPITE AND MOBILE OFFICE FOR USE FOR OFFICERS</t>
  </si>
  <si>
    <t>2YTDT952209805</t>
  </si>
  <si>
    <t xml:space="preserve">
Sales Order #: 2272804856
RTD Screening Code: DOD
Reason for Rejection: YG</t>
  </si>
  <si>
    <t>PICK UP TRUCK TO ASSIST IN MOVING EQUIPMENT FROM THE DEPARTMENT TO EVENTS, RANGES, AND OTHER TRAINING FUNCTIONS.</t>
  </si>
  <si>
    <t>2YTHZ852279882</t>
  </si>
  <si>
    <t xml:space="preserve">
Sales Order #: 2274328117
RTD Screening Code: DOD
Reason for Rejection: Y9</t>
  </si>
  <si>
    <t>WE ARE CURRENTLY TRYING TO BETTER EQUIP OUR SWAT TEAM AS WE RECENTLY HAD AN OFFICER INVOLVED SHOOTING WHERE TWO OF OUR OFFICERS WERE SHOT. WE CURRENTLY DO NOT HAVE ANY SNIPER RIFLES IN SERVICE BUT HAVE TWO OFFICERS WHO ARE CERTIFIED AS SNIPERS. WE ARE ORDERING TWO RIFLES FOR THEM BUT CURRENTLY HAVE NO OPTICS FOR THESE RIFLES. THESE WOULD BE A GREAT ADDITION TO OUR RIFLES AND PROVIDE TOP QUALITY EQUIPMENT FOR OFFICER SAFETY.</t>
  </si>
  <si>
    <t>2YTB1G52411067</t>
  </si>
  <si>
    <t xml:space="preserve">
Sales Order #: 2274399628
RTD Screening Code: DOD
Reason for Rejection: Y9</t>
  </si>
  <si>
    <t>THE SCOTLAND COUNTY SHERIFF'S OFFICE IS REQUESTING THE LISTED ITEMS TO ASSIST THE AGENCY SWAT TEAM WITH COUNTER-DRUG AND COUNTER-TERRORISM OPERATIONS. EMAIL WAS SENT TO LISTING DLA AND ADVISED THEM THE AGENCY WOULD ACCEPT ITEMS IN THEIR CURRENT CONDITION.</t>
  </si>
  <si>
    <t>2YTKUK52411181</t>
  </si>
  <si>
    <t xml:space="preserve">
Sales Order #: 2274311900
RTD Screening Code: DOD
Reason for Rejection: Y9</t>
  </si>
  <si>
    <t>OUR AGENCY NEEDS THIS EQUIPMENT.  FOR USE BY REQUESTING AGENCY FOR LAW ENFORCEMENT PURPOSES ONLY.  WILL BE ISSUED TO PATROL OFFICERS-SWAT MEMBERS FOR INSTALLATION ON LONG RANGE RIFLES.  WILL BE UTILIZED BY POLICE SNIPER UNIT FOR SPECIALIZED AND HIGH RISK OPERATIONS.</t>
  </si>
  <si>
    <t>2YTHYA52411114</t>
  </si>
  <si>
    <t xml:space="preserve">
Sales Order #: 2274396625
RTD Screening Code: GSA
Reason for Rejection: Z2</t>
  </si>
  <si>
    <t>WOULD BE USED BY HUBBARD POLICE OFFICERS ON DAYS ASSIGNED TO THE WEAPONS TRAINING RANGE AS WELL AS CALLS REQUIRING BALLISTIC EYE PROTECTION.</t>
  </si>
  <si>
    <t>2YTFK752341194</t>
  </si>
  <si>
    <t>THE PIEDMONT POLICE DEPARTMENT WOULD UTILIZE THIS EQUIPMENT TO PERFORM VEHICLE MAINTENANCE AT THE PIEDMONT POLICE DEPARTMENT.</t>
  </si>
  <si>
    <t>JACK,DOLLY TYPE,HYDRAULIC</t>
  </si>
  <si>
    <t>2YTJMH52481366</t>
  </si>
  <si>
    <t xml:space="preserve">
Sales Order #: 2272247629
RTD Screening Code: DOD
Reason for Rejection: YG</t>
  </si>
  <si>
    <t>RESCUE HOOKS TO BE USED BY PA STATE POLICE PERSONNEL IN EMERGENCIES SITUATIONS FOR VEHICLE EXTRICATION AND FIRST AID</t>
  </si>
  <si>
    <t>2YTJA952068568</t>
  </si>
  <si>
    <t xml:space="preserve">
Sales Order #: 2273135924
RTD Screening Code: DOD
Reason for Rejection: YH</t>
  </si>
  <si>
    <t>LEVEL PLAINS POLICE DEPT WOULD USE TO HAUL 1033 ITEMS AWARDED</t>
  </si>
  <si>
    <t>2YTRNR52139434</t>
  </si>
  <si>
    <t xml:space="preserve">
Sales Order #: 2272913419
RTD Screening Code: GSA
Reason for Rejection: Z2</t>
  </si>
  <si>
    <t>FOR THE CBP EMERGENCY MEDICAL TEAMS RESPONDING TO MAN-MADE AND NATURAL DISASTERS AREA. EMTS WORK IN ALL 328 AIR, SEA AND LAND BORDER PORTS RESPONDING TO TRAVELERS AND MIGRANTS NEEDS.</t>
  </si>
  <si>
    <t>2YTRGK52209550</t>
  </si>
  <si>
    <t xml:space="preserve">
Sales Order #: 2270018618
RTD Screening Code: DOD
Reason for Rejection: YG</t>
  </si>
  <si>
    <t>2YTRJ552279673</t>
  </si>
  <si>
    <t xml:space="preserve">
Sales Order #: 2270018620
RTD Screening Code: DOD
Reason for Rejection: YG</t>
  </si>
  <si>
    <t>2YTRJ552279664</t>
  </si>
  <si>
    <t xml:space="preserve">
Sales Order #: 2273391322
RTD Screening Code: DOD
Reason for Rejection: YH</t>
  </si>
  <si>
    <t>REQUESTED BY NORTH MYRTLE BEACH POLICE DEPARTMENT TO BE USED BY NMB POLICE DEPARTMENT OFFICERS IN AGENCY TRAINING ROOM.</t>
  </si>
  <si>
    <t>PODIUM</t>
  </si>
  <si>
    <t>DSPODIUM0</t>
  </si>
  <si>
    <t>2YT1PG52340115</t>
  </si>
  <si>
    <t>THESE JACKETS 
WILL BE ISSUED TO AGENTS WHO DEPLOY WITH FEMA AS PART OF OUR ESF TEAM, GOING TO DISASTER AREAS.</t>
  </si>
  <si>
    <t>2YTSXU52250523</t>
  </si>
  <si>
    <t>THESE JACKETS WILL B ISSUED TO AGENTS WHO DEPLOY WITH FEMA AS PART OF OUR ESF TEAM, GOING TO DISASTER AREAS.</t>
  </si>
  <si>
    <t>2YTSXU52250518</t>
  </si>
  <si>
    <t>THESE PONCHOS WILL BE ISSUED TO AGENTS WHO DEPLOY WITH FEMA AS PART OF OUR ESF TEAM, GOING TO DISASTER AREAS.</t>
  </si>
  <si>
    <t>2YTSXU52250517</t>
  </si>
  <si>
    <t>2YTSXU52250516</t>
  </si>
  <si>
    <t>2YTSXU52250515</t>
  </si>
  <si>
    <t>2YTSXU52250514</t>
  </si>
  <si>
    <t xml:space="preserve">
Sales Order #: 2273970668
RTD Screening Code: DOD
Reason for Rejection: Y6</t>
  </si>
  <si>
    <t>FBI NASHVILLE SWAT INTENDS TO UTILIZE THESE ITEMS IN SUPPORT OF LOW-LIGHT LAW ENFORCEMENT TACTICAL MISSIONS.</t>
  </si>
  <si>
    <t>2YTSZU52270659</t>
  </si>
  <si>
    <t>DOJ/FBI NASHVILLE (2YTSZU)</t>
  </si>
  <si>
    <t>THESE ITEMS WILL BE ISSUED TO OUR AGENTS WHO DEPLOY WITH FEMA AS PART OF OUR ESF 13 TEAM</t>
  </si>
  <si>
    <t>2YTSXU52320936</t>
  </si>
  <si>
    <t xml:space="preserve">
Sales Order #: 2274215287
RTD Screening Code: DOD
Reason for Rejection: YH</t>
  </si>
  <si>
    <t>LEE COUNTY SHERIFFS OFFICE WOULD USE KITS FOR LAW ENFORCEMENT AND LIFESAVING SCENARIOS. AEDS WOULD BE ISSUED TO DEPUTIES TO USE WHEN NEEDED AND BE PLACED IN TRAINING ENVIRONMENTS TO USE DURING EMERGENCIES UNTIL MEDICAL PERSONNEL COULD ARRIVE ON SCENE.</t>
  </si>
  <si>
    <t>2YTGM152341009</t>
  </si>
  <si>
    <t>LEE COUNTY SHERIFFS OFFICE (2YTGM1)</t>
  </si>
  <si>
    <t>FOR USE BY RESCUE AND LE TEAMS FOR TRAINING AND OPERATIONS FOR HEARING PROTECTION IN THE FIELD AND THE RANGE. USE FOR COMMUNICATIONS WITH OTHER PERSONNEL</t>
  </si>
  <si>
    <t>2YTMGW52410891</t>
  </si>
  <si>
    <t xml:space="preserve">
Sales Order #: 2274311879
RTD Screening Code: DOD
Reason for Rejection: Y9</t>
  </si>
  <si>
    <t>THE ROCHESTER POLICE DEPARTMENT WILL USE THIS ITEM TO TEMPORARILY, AND PERMANENTLY, ADHERE AND SECURE VARIOUS ITEMS IN TRAINING AND PATROL SETTINGS.</t>
  </si>
  <si>
    <t>2YTKCC52411115</t>
  </si>
  <si>
    <t xml:space="preserve">
Sales Order #: 2269477680
RTD Screening Code: DOD
Reason for Rejection: Y9</t>
  </si>
  <si>
    <t>THIS ITEM WILL BE USED EXCLUSIVELY BY LEOS OF THIS LEA. THIS VEHICLE WILL BE USED BY THIS LEA SPECIFICALLY BY BEING ASSIGNED TO OUR SPECIAL UNITS OFFICERS TO TRAVEL TO AND FROM ASSIGNMENTS AND CARRY ALL OF THEIR SPECIALIZED MATERIALS.</t>
  </si>
  <si>
    <t>2YTK2052481392</t>
  </si>
  <si>
    <t>THE TEHAMA COUNTY SHERIFF'S OFFICE WILL USE DUMBBELL, GYMNASTIC AS EQUIPMENT FOR DEPUTY USE AT THE DEPARTMENT SPONSORED GYM.</t>
  </si>
  <si>
    <t>DUMBBELL,GYMNASTIC</t>
  </si>
  <si>
    <t>2YTLQ752481518</t>
  </si>
  <si>
    <t>THESE GOGGLES WOULD BE USED WHEN RIDING ATV'S AND UTV'S IN THE FOREST AREA AS THE SHERIFFS OFFICE COVERS 250,000 ACRES.</t>
  </si>
  <si>
    <t>2YTGAF52481502</t>
  </si>
  <si>
    <t>THESE PENS WILL BE UTILIZED BY TRAINING OFFICERS IN THE PROCESS OF INSTRUCTING PERSONNEL ON PATROL TACTICS. THIS WILL ENSURE PROPER DOCUMENTATION OF TRAINING, IMPROVING PUBLIC CONFIDENCE IN TRAINING AND INCREASING PUBLIC SAFETY.</t>
  </si>
  <si>
    <t>2YTF7N52481485</t>
  </si>
  <si>
    <t>WE WOULD ISSUE THESE OUT TO OUR PATROL OFFICERS AND SWAT OPERATORS TO HAVE ADDITIONAL RIFLE MAGAZINES.</t>
  </si>
  <si>
    <t>2YTDSG52481505</t>
  </si>
  <si>
    <t>REQUESTED BY SCDPS TO BE USED BY SCDPS LAW ENFORCEMENT OFFICERS ASSIGNED TO THE SPECIAL OPERATIONS UNIT AS RUCKSACKS FOR TRAINING AND PT.</t>
  </si>
  <si>
    <t>2YTKTF52481555</t>
  </si>
  <si>
    <t xml:space="preserve">
Sales Order #: 2273369722
RTD Screening Code: DOD
Reason for Rejection: YH</t>
  </si>
  <si>
    <t>TO BE DEPLOYED BY FORT BEND COUNTY SHERIFFS OFFICE FOR ACCESSING REMOTE WATERWAYS FOR PURPOSES OF DRUG INTERDICTION, FUGITIVE APPREHENSIONS, AND RESCUES.</t>
  </si>
  <si>
    <t>2YTD7M52279921</t>
  </si>
  <si>
    <t>FORT BEND CSO (2YTD7M)</t>
  </si>
  <si>
    <t xml:space="preserve">
Sales Order #: 2273970667
RTD Screening Code: DOD
Reason for Rejection: Y9</t>
  </si>
  <si>
    <t>FEDERAL SCREENER FOR DIVISION WITH 200 LAW ENFORCEMENT AGENTS TO INCLUDE 19 SWAT OPERATORS.  THESE CAN BE USED BY SWAT OPERATORS TO MOUNT RIFLES, RANGING AND OBSERVATION EQUIPMENT ON A STABLE PLATFORM.  SWAT BUDGET IS LIMITED AND ARE COST PROHIBITIVE TO PURCHASE.</t>
  </si>
  <si>
    <t>MOUNT,TRIPOD,RIFLE</t>
  </si>
  <si>
    <t>2YTQY152550078</t>
  </si>
  <si>
    <t xml:space="preserve">
Sales Order #: 2274224901
RTD Screening Code: DOD
Reason for Rejection: Z2</t>
  </si>
  <si>
    <t>2YTRTP52340657</t>
  </si>
  <si>
    <t xml:space="preserve">
Sales Order #: 2274141275
RTD Screening Code: DOD
Reason for Rejection: YH</t>
  </si>
  <si>
    <t>OUR AGENCY NEEDS THIS EQUIPMENT.  FOR USE BY REQUESTING AGENCY.  WILL BE ISSUED TO PATROL OFFICERS AND SWAT MEMBERS FOR USE ON PATROL RIFLES FOR NIGHT TRAINING AND LAW ENFORCEMENT OPERATIONS. OUR AGENCY HAS A NEED FOR THESE IR LASER-ILLUMINATORS. PLEASE EXPEDITE THIS REQUEST DUE TO THIS EQUIPMENT ONLY HAVING 4 DAYS LEFT IN CYCLE.</t>
  </si>
  <si>
    <t>2YTHYA52340964</t>
  </si>
  <si>
    <t xml:space="preserve">
Sales Order #: 2274619961
RTD Screening Code: DOD
Reason for Rejection: BQ</t>
  </si>
  <si>
    <t>TROUP PD WOULD LIKE TO ACQUIRE THIS ITEM FOR THE USE AT OUR POLICE DEPARTMENT TRAINING FACILITY. THIS ITEM WILL HELP WITH GROUND MAINTENANCE AROUND THE PROPERTY</t>
  </si>
  <si>
    <t>2YTLY352411511</t>
  </si>
  <si>
    <t xml:space="preserve">
Sales Order #: 2274659015
RTD Screening Code: DOD
Reason for Rejection: BQ</t>
  </si>
  <si>
    <t>AUGER,ICE MAKER DIS</t>
  </si>
  <si>
    <t>2YTLY352411509</t>
  </si>
  <si>
    <t xml:space="preserve">
Sales Order #: 2274595681
RTD Screening Code: DOD
Reason for Rejection: Y9</t>
  </si>
  <si>
    <t>2YTFKS52481491</t>
  </si>
  <si>
    <t>THE SHERIDAN POLICE DEPARTMENT IS REQUESTING THE TACTICAL EQUIPMENT FOR OPERATIONS AT THE POLICE DEPARTMENT.  THE EQUIPMENT WOULD GREATLY BENEFIT US FOR USE IN COUNTER TERRORISM, COUNTER DRUG, AND ACTIVE SHOOTER TRAINING AND INCIDENTS.  THE EQUIPMENT WILL BE USED FOR LAW ENFORCEMENT PURPOSES ONLY.</t>
  </si>
  <si>
    <t>2YTK1452411540</t>
  </si>
  <si>
    <t>2YTKTF52391557</t>
  </si>
  <si>
    <t>FOR THE USE BY THIS LAW ENFORCEMENT AGENCY, ORANGE POLICE DEPARTMENT ONLY. THE UTILIZATION OF NIGHT VISION EQUIPMENT WILL BE ASSIGNED TO PERIMETER OFFICERS DURING NIGHT OPERATIONS AND THE EXECUTION OF SEARCH WARRANTS. THIS TECHNOLOGY WILL ENHANCE SITUATIONAL AWARENESS BY PROVIDING AN ALTERNATIVE VISUAL CAPABILITY TO DETECT AND IDENTIFY SUBJECTS IN LOW-LIGHT OR NO-LIGHT ENVIRONMENTS.</t>
  </si>
  <si>
    <t>2YT15D52411602</t>
  </si>
  <si>
    <t xml:space="preserve">
Sales Order #: 2274609483
RTD Screening Code: DOD
Reason for Rejection: Y9</t>
  </si>
  <si>
    <t>OUR AGENCY NEEDS THIS EQUIPMENT. WILL BE USED BY REQUESTING AGENCY FOR LAW ENFORCEMENT PURPOSES.  WILL BE ISSUED TO OUR PATROL OFFICERS FOR THEIR DAILY WORK.</t>
  </si>
  <si>
    <t>CLIPBOARD,PORTABLE</t>
  </si>
  <si>
    <t>2YTHYA52481527</t>
  </si>
  <si>
    <t xml:space="preserve">
Sales Order #: 2274609479
RTD Screening Code: DOD
Reason for Rejection: Y9</t>
  </si>
  <si>
    <t>OUR AGENCY NEEDS THIS EQUIPMENT. WILL BE USED BY REQUESTING AGENCY FOR LAW ENFORCEMENT PURPOSES.  WILL BE ISSUED TO OUR PATROL OFFICERS AND OFFICE STAFF FOR THEIR DAILY WORK.</t>
  </si>
  <si>
    <t>PERSONAL DESK KIT</t>
  </si>
  <si>
    <t>2YTHYA52481526</t>
  </si>
  <si>
    <t>FOR USE BY THE MILTON POLICE SWAT TEAM SNIPERS TO PROPERLY RANGE DISTANCES FOR ACCURATE SHOTS. CONFIRMED STATUS AND CONDITION WITH SAN JOAQUIN. WE ACCEPT STATUS AND CONDITION.</t>
  </si>
  <si>
    <t>2YTHST52411577</t>
  </si>
  <si>
    <t xml:space="preserve">
Sales Order #: 2270098145
RTD Screening Code: DOD
Reason for Rejection: YF</t>
  </si>
  <si>
    <t>PERSON COUNTY SHERIFF'S OFFICE CAN USE THIS EQUIPMENT TO ASSIST WITH MOUNTING NVG TO OUR HELMETS FOR NIGHT TIME HOSTAGE RESCUE AS WELL AS NIGHT TIME CALL OUTS</t>
  </si>
  <si>
    <t>2YTJKM52138920</t>
  </si>
  <si>
    <t xml:space="preserve">
Sales Order #: 2272393964
RTD Screening Code: DOD
Reason for Rejection: YF</t>
  </si>
  <si>
    <t>THIS LAW ENFORCEMENT AGENCY WOULD UTILIZE THESE ITEMS FOR IT'S SPECIAL RESPONSE TEAM FOR RESPONDING TO CRITICAL INCIDENTS DURING THE NIGHT TIME HOURS.  THESE ITEMS WOULD ONLY BE UTILIZED BY SWORN LAW ENFORCEMENT OFFICERS.  WE HAVE VIEWED THE PICTURES PROVIDED BY THE DLA SITE AND ACCEPT THE CONDITION OF THEM. THANK YOU FOR YOUR CONSIDERATION.</t>
  </si>
  <si>
    <t>2YTLQT52139372</t>
  </si>
  <si>
    <t xml:space="preserve">
Sales Order #: 2271214782
RTD Screening Code: DOD
Reason for Rejection: Y9</t>
  </si>
  <si>
    <t>THIS ITEM WILL BE USED EXCLUSIVELY BY LEOS FROM THIS LEA. THIS ITEM WILL BE USED TO STORE AND TRANSPORT OUR COMMUNITY POLICING SUPPLIES, TRAFFIC CONES, TRAFFIC BARRIERS, AND OTHER TRAFFIC INVESTIGATION MATERIALS.</t>
  </si>
  <si>
    <t>2YTK2052410792</t>
  </si>
  <si>
    <t xml:space="preserve">
Sales Order #: 2274160881
RTD Screening Code: DOD
Reason for Rejection: Y9</t>
  </si>
  <si>
    <t>THE MT. ORAB POLICE DEPARTMENT WOULD LIKE TO ACQUIRE THIS REFRIGERATED TRAILER. WE WOULD LIKE TO USE THIS TRAILER FOR AN EMERGENCY SITUATION, THAT WOULD AID IN CASE OF A MASS POWER OUTAGE. OUR SRT TEAM DOES OFF GRID TRAINING A FEW TIMES A YEAR, WHERE WE COULD USE THIS TRAILER TO STORE DAYS WORTH OF FOOD AND WATERS FOR THOSE 3 DAY TRAININGS. WE WOULD ALSO USE THIS AT OUR OUTDOOR RANGE FOR OUR 8 HOUR TRAINING DAYS.</t>
  </si>
  <si>
    <t>2YTH5S52410757</t>
  </si>
  <si>
    <t xml:space="preserve">
Sales Order #: 2274138015
RTD Screening Code: DOD
Reason for Rejection: Y9</t>
  </si>
  <si>
    <t>2YTRAL52410796</t>
  </si>
  <si>
    <t xml:space="preserve">
Sales Order #: 2274133073
RTD Screening Code: DOD
Reason for Rejection: Y9</t>
  </si>
  <si>
    <t>TRAILER WILL BE USED BY THE GREENE COUNTY SHERIFFS OFFICE FOR DISASTER RESPONSE. HAVING THIS TRAILER WILL ALLOW US TO KEEP FOOD REFRIGERATED FOR OUR CREWS WHO ARE WORKING THE DISASTER OR EMERGENCY RESPONSE. THIS WILL ALLOW US TO PREPARE MEALS ON SITE FOR OUR OFFICERS AND RESPONDERS.</t>
  </si>
  <si>
    <t>2YTET652410789</t>
  </si>
  <si>
    <t xml:space="preserve">
Sales Order #: 2271982540
RTD Screening Code: DOD
Reason for Rejection: Y9</t>
  </si>
  <si>
    <t>THE COLUMBUS POLICE DEPARTMENT WILL USE THIS TRAILER TO STORE AND MOVE EQUIPMENT FOR TRAINING AND CALLS FOR SERVICE INVOLVING NATURAL DISASTERS AND ACTIVE THREAT SITUATIONS.</t>
  </si>
  <si>
    <t>2YTCPL52410739</t>
  </si>
  <si>
    <t xml:space="preserve">
Sales Order #: 2274138021
RTD Screening Code: DOD
Reason for Rejection: Y9</t>
  </si>
  <si>
    <t>ALPENA COUNTY SHERIFF'S DEPARTMENT  WOULD BE USED TO STORE IN THE EVENT OF A POWER OUTAGE OR EMERGENCY SHELTER NEEDS.</t>
  </si>
  <si>
    <t>2YTAG352410751</t>
  </si>
  <si>
    <t xml:space="preserve">
Sales Order #: 2274328124
RTD Screening Code: DOD
Reason for Rejection: Y9</t>
  </si>
  <si>
    <t>WILL BE UTILIZED AS DEA COMMAND POST AND STORE TECH AND OTHER EQUIPMENT</t>
  </si>
  <si>
    <t>2YTQK952410836</t>
  </si>
  <si>
    <t xml:space="preserve">
Sales Order #: 2274133285
RTD Screening Code: DOD
Reason for Rejection: Y9</t>
  </si>
  <si>
    <t>BRUNSWICK COUNTY SHERIFFS OFFICE WILL UTILIZE THIS EQUIPMENT FOR COMMAND POST SETUP FOR NATURAL DISASTERS AND SEARCH AND RESCUE OPERATIONS</t>
  </si>
  <si>
    <t>2YTBMJ52410882</t>
  </si>
  <si>
    <t>BRUNSWICK CSO (2YTBMJ)</t>
  </si>
  <si>
    <t xml:space="preserve">
Sales Order #: 2269477702
RTD Screening Code: DOD
Reason for Rejection: Y9</t>
  </si>
  <si>
    <t>OUR AGENCY NEEDS THIS EQUIPMENT. FOR USE BY REQUESTING AGENCY FOR LAW ENFORCEMENT PURPOSES ONLY. THIS EQUIPMENT WILL BE ISSUED TO PATROL OFFICERS - SWAT MEMBERS TO SUPPORT COMMUNICATIONS DURING LAW ENFORCEMENT OPERATIONS.  THIS EQUIPMENT IS COMPATIBLE WITH THE RADIOS ISSUED TO OUR OFFICERS.</t>
  </si>
  <si>
    <t>2YTHYA52481359</t>
  </si>
  <si>
    <t xml:space="preserve">
Sales Order #: 2269477686
RTD Screening Code: DOD
Reason for Rejection: Y9</t>
  </si>
  <si>
    <t>2YTJA952481367</t>
  </si>
  <si>
    <t>FOR RESCUE AND LE TEAMS TO PROTECTING HEARING AND TO COMMUNICATE IN THE FIELD DURING TRAINING AND OPERATIONS FOR OFFICER SAFETY</t>
  </si>
  <si>
    <t>2YTMGW52481400</t>
  </si>
  <si>
    <t>FOR USE BY RESCUE AND LE TEAMS TO SEE IN LOW LIGHT ENVIRONMENTS INDOORS AND OUTDOORS DURING TRAINING AND OPERATIONS FOR OFFICER SAFETY</t>
  </si>
  <si>
    <t>2YTMGW52481397</t>
  </si>
  <si>
    <t xml:space="preserve">
Sales Order #: 2274669855
RTD Screening Code: DOD
Reason for Rejection: Y9</t>
  </si>
  <si>
    <t>THESE BOOTS WILL BE ISSUED TO AN AGENT WHO DEPLOYS WITH FEMA AS PART OF OUR ESF 13 TEAM</t>
  </si>
  <si>
    <t>2YTSXU52481426</t>
  </si>
  <si>
    <t xml:space="preserve">
Sales Order #: 2274594911
RTD Screening Code: ACCM
Reason for Rejection: Y9</t>
  </si>
  <si>
    <t>THESE ITEMS WOULD BE USED BY THE ORANGE COUNTY SHERIFF'S DEPARTMENT. THESE ITEMS WOULD BE ISSUED TO OUR SPECIAL OPERATIONS DIVISION. THESE ARE DEPUTIES ON OUR SWAT, K9 AND HAZARDOUS DEVICES TEAMS. THE DEPUTIES WOULD BE ABLE TO USE THESE LIGHTS IN THE FIELD DURING CALLS FOR SERVICES, WARRANT SERVICE, BARRICADED SUSPECTS, SEARCHES AND MORE.</t>
  </si>
  <si>
    <t>2YT14Z52481445</t>
  </si>
  <si>
    <t xml:space="preserve">
Sales Order #: 2274619952
RTD Screening Code: DOD
Reason for Rejection: Y9</t>
  </si>
  <si>
    <t>WE ARE IN NEED OF THESE TACTICAL HEADSETS TO BE USED BY OUR SRT OPERATORS DURING OPERATIONS AND TRAINING.  THESE HEADSETS WILL ALLOW OUR OPERATORS TO HAVE AMPLIFIED HEARING PROTECTION ALONG WITH THE ABILITY TO COMMUNICATE ON THE RADIO.</t>
  </si>
  <si>
    <t>2YTHDF52481421</t>
  </si>
  <si>
    <t>THIS AIR COMPRESSOR WOULD BE USED TO FILL THE TIRES OF PATROL CARS FOR THE SHERIFF'S OFFICE.</t>
  </si>
  <si>
    <t>2YTGAF52481508</t>
  </si>
  <si>
    <t xml:space="preserve">
Sales Order #: 2274609488
RTD Screening Code: DOD
Reason for Rejection: Y9</t>
  </si>
  <si>
    <t>2YTHYA52481525</t>
  </si>
  <si>
    <t>2YTKSE52411638</t>
  </si>
  <si>
    <t xml:space="preserve">
Sales Order #: 2269581160
RTD Screening Code: DOD
Reason for Rejection: YH</t>
  </si>
  <si>
    <t>TO BE UTILIZED BY THE POLICE DEPARTMENT TO INSTALL AND MAINTAIN CAMERAS IN HIGH LOCATIONS, SUCH AS LIGHT POLES.</t>
  </si>
  <si>
    <t>2YTAD451716489</t>
  </si>
  <si>
    <t xml:space="preserve">
Sales Order #: 2271191489
RTD Screening Code: GSA
Reason for Rejection: YG</t>
  </si>
  <si>
    <t>THESE LIGHTS WILL BE USED BY OUR SRT OPERATORS AND UPGRADE THE LIGHTS CURRENTLY BEING USED, MAKING THEM MORE EFFECTIVE DURING LOW LIGHT OPERATIONS.  
I HAVE CONTACTED THE BASE IN REFERENCE TO THE CONDITION AND WE ARE SATISFIED WITH THE CONDITION OF THE LIGHTS.</t>
  </si>
  <si>
    <t>2YTHDF51998031</t>
  </si>
  <si>
    <t xml:space="preserve">
Sales Order #: 2271768757
RTD Screening Code: DOD
Reason for Rejection: YG</t>
  </si>
  <si>
    <t>WE ARE BOAZ POLICE DEPT IN BOAZ, ALA. WE DO NOT HAVE PLAIN VEHICLES TO USE IN DRUG INTERDICTION. ALSO, WE NEED PICK UPS TO CARRY BARRICADES DURING FLOODING. WE CURRENTLY HAVE BEEN SUPPLIED WITH A PERFECT PLACE FOR A MECHANICS GARAGE. STARTING FROM SCRATCH, WE NEED TRANSPORT OF TOOLS AND PARTS. THIS PICKUP WOULD BE BENEFICIAL FOR MANY OF OUR POLICE SUPPORT TASK. WEATHER EVENTS, DRUG AND DETECTIVE WORK, TRANSPORTING MATERIAL, CODE ENFORCEMENT THANK YOU FOR YOUR CONSIDERATION</t>
  </si>
  <si>
    <t>2YTBCH52068326</t>
  </si>
  <si>
    <t xml:space="preserve">
Sales Order #: 2270087884
Reason for Rejection: YH</t>
  </si>
  <si>
    <t>THESE ITEMS ARE BEING REQUESTED BY THE CLARKE COUNTY SHERIFF'S OFFICE, TO BE USED BY LAW ENFORCEMENT OFFICERS FOR LAW ENFORCEMENT PURPOSES. THE REQUESTED NETTING, CAMOFLAGE, WILL BE UTILIZED BY LAW ENFORCEMENT OFFICERS FOR CONSEALMENT OF AREAS WITHIN THE FENCE LINE OF THE CORRECTIONAL FACILITY.</t>
  </si>
  <si>
    <t>NETTING,CAMOUFLAGE,</t>
  </si>
  <si>
    <t>2YTCFX52138819</t>
  </si>
  <si>
    <t xml:space="preserve">
Sales Order #: 2269141407
RTD Screening Code: GSA
Reason for Rejection: YG</t>
  </si>
  <si>
    <t>THE WILLACOOCHEE POLICE DEPARTMENT URGENTLY REQUIRES ELECTRICAL EQUIPMENT OR A GENERATOR TO ENSURE RELIABLE POWER FOR OUR FACILITY DURING OUTAGES. DURING HURRICANE HELENE, WE FACED SIGNIFICANT CHALLENGES AS OUR BUILDING LOST POWER, WHICH HINDERED OUR ABILITY TO EFFECTIVELY RESPOND TO EMERGENCIES AND SERVE THE COMMUNITY.</t>
  </si>
  <si>
    <t>2YTNPQ52209216</t>
  </si>
  <si>
    <t xml:space="preserve">
Sales Order #: 2272823718
RTD Screening Code: GSA
Reason for Rejection: YG</t>
  </si>
  <si>
    <t>THE CLARKE COUNTY SHERIFF'S OFFICE WOULD LIKE TO ACQUIRE THIS EQUIPMENT FOR OUR OFFICERS TO USE TO CARRY MISSION ESSENTIAL EQUIPMENT FOR USE ON DIFFERENT MISSIONS, SUCH AS SEARCH AND RESCUE, BARRICADE HOSTAGE, ACTIVE SHOOTER, AND WEATHER RELATED EVACUATIONS, RESCUE.</t>
  </si>
  <si>
    <t>2YTCFW52209390</t>
  </si>
  <si>
    <t xml:space="preserve">
Sales Order #: 2272823720
RTD Screening Code: DOD
Reason for Rejection: YG</t>
  </si>
  <si>
    <t>THE CLARKE COUNTY SHERIFF'S OFFICE WOULD LIKE TO ACQUIRE THIS EQUIPMENT TO BE ISSUED TO OUR OFFICERS FOR INCLEMENT AND COLD WEATHER CONDITIONS.</t>
  </si>
  <si>
    <t>2YTCFW52209381</t>
  </si>
  <si>
    <t xml:space="preserve">
Sales Order #: 2272813390
RTD Screening Code: DOD
Reason for Rejection: YG</t>
  </si>
  <si>
    <t>TO BE USED IN COMMUNITY SUPPORT VIA SEARCH AND RESCUE OPERATIONS.</t>
  </si>
  <si>
    <t>2YTB2452209414</t>
  </si>
  <si>
    <t>CASS COUNTY SHERIFF'S OFFICE (2YTB24)</t>
  </si>
  <si>
    <t xml:space="preserve">
Sales Order #: 2273006212
RTD Screening Code: DOD
Reason for Rejection: YG</t>
  </si>
  <si>
    <t>THESE PARKAS PROVIDE CRITICAL PROTECTION DURING EXTREME COLD WEATHER CONDITIONS, ENSURING OUR DEPUTIES REMAIN SAFE AND EFFECTIVE WHILE WORKING IN HARSH ENVIRONMENTS. WHETHER RESPONDING TO EMERGENCY SITUATIONS, CONDUCTING OUTDOOR OPERATIONS, OR PATROLLING RURAL AREAS DURING THE WINTER MONTHS, THE PARKAS WILL SIGNIFICANTLY IMPROVE COMFORT, PERFORMANCE, AND OVERALL OFFICER SAFETY.</t>
  </si>
  <si>
    <t>2YTFKS52209531</t>
  </si>
  <si>
    <t xml:space="preserve">
Sales Order #: 2272813395
RTD Screening Code: DOD
Reason for Rejection: YG</t>
  </si>
  <si>
    <t>THE HOWARD COUNTY SHERIFF'S OFFICE COULD BENEFIT FROM CONVERSION KITS TO ENHANCE TRAINING VERSATILITY AND COST-EFFECTIVENESS. BY ALLOWING FOR THE USE OF LESS-LETHAL AMMUNITION, THE KIT WOULD ENABLE MORE REALISTIC FORCE-ON-FORCE TRAINING SCENARIOS, IMPROVING OUR OFFICERS' DECISION-MAKING AND ACCURACY UNDER PRESSURE. THIS WOULD HELP US MAINTAIN OPERATIONAL READINESS.</t>
  </si>
  <si>
    <t>2YTFKS52209524</t>
  </si>
  <si>
    <t xml:space="preserve">
Sales Order #: 2273135915
Reason for Rejection: YG</t>
  </si>
  <si>
    <t>FOR USE BY THE BASTROP COUNTY SHERIFF'S OFFICE FOR TRAINING AND SIMULATED FIREARM SCENARIOS AND FORCE ON FORCE TRAINING.</t>
  </si>
  <si>
    <t>2YTN6A52209608</t>
  </si>
  <si>
    <t xml:space="preserve">
Sales Order #: 2274225622
RTD Screening Code: DOD
Reason for Rejection: Y9</t>
  </si>
  <si>
    <t>2YTGVE52410912</t>
  </si>
  <si>
    <t xml:space="preserve">
Sales Order #: 2274152807
RTD Screening Code: DOD
Reason for Rejection: Y9</t>
  </si>
  <si>
    <t>LOCHBUIE PD IS A SMALL AGENCY WITH A LIMITED BUDGET. THESE STORAGE LOCKERS WOULD HELP PROVIDE OUR OFFICERS A PLACE TO SAFELY SECURE THEIR RIFLES. WE WOULD USE THEM DAILY IN OUR ARMORY AND ON THE RANGE.</t>
  </si>
  <si>
    <t>LOCKER, STORAGE</t>
  </si>
  <si>
    <t>DSLOCKER2</t>
  </si>
  <si>
    <t>2YTGVE52410907</t>
  </si>
  <si>
    <t>THE OAKLAND COUNTY SHERIFFS OFFICE REQUESTS A FIXED-WING DRONE TO SUPPORT WIDE-AREA OBSERVATION, SEARCH AND RESCUE, AND RURAL OPERATIONS. COVERING 900 SQUARE MILES WITH 1.3 MILLION RESIDENTS, TRADITIONAL ROTARY UAS FACE ENDURANCE AND RANGE LIMITATIONS. A FIXED-WING SYSTEM FILLS THIS GAP, PROVIDING EXTENDED FLIGHT TIME AND COVERAGE TO ENHANCE REGIONAL RESPONSE DURING LARGE-SCALE INCIDENTS AND EMERGENCIES.</t>
  </si>
  <si>
    <t>2YT1WK52481520</t>
  </si>
  <si>
    <t xml:space="preserve">
Sales Order #: 2274682160
RTD Screening Code: DOD
Reason for Rejection: Y9</t>
  </si>
  <si>
    <t>REQUESTED BY SCDPS TO BE USED BY SCDPS LAW ENFORCEMENT OFFICERS ASSIGNED TO THE SPECIAL OPERATIONS UNIT AS A RESCUE KNIFE.</t>
  </si>
  <si>
    <t>2YTKTF52481612</t>
  </si>
  <si>
    <t>HE SARDINIA POLICE DEPARTMENT IS REQUESTING UNMANNED AIRCRAFT SYSTEM RESOURCE TO ASSISTANCE IN SERVING WARRANTS, EMERGENCIES AND NATURAL DISASTERS, ASSESSING AN AREA BEFORE COMMITTING TO A SEARCH OR ENTRY, MAPPING OUTDOOR CRIME SCENE, STOLEN ITEMS AND LOCATING LOST PERSONNEL. WITH LIMITED RESOURCES AND FUNDING, RECEIPT OF REQUESTED ITEMS WOULD REDUCE THE ADDITIONAL COST SARDINIA POLICE DEPARTMENT WOULD FACE PURCHASING AN UNMANNED AIRCRAFT SYSTEM RESOURCE TO SUPPORT DURING CRITICAL SITUATIONS.</t>
  </si>
  <si>
    <t>2YTKSE52411644</t>
  </si>
  <si>
    <t>THE BRUNSWICK COUNTY SHERIFF NEEDS THIS REQUISITIONING EQUIPMENT FOR USE DURING SEARCH AND RESCUE OPERATIONS, COUNTER-DRUG-COUNTER-TERRORISM, AND DISASTER-RELATED EMERGENCIES.</t>
  </si>
  <si>
    <t>2YTBMJ52481707</t>
  </si>
  <si>
    <t xml:space="preserve">
Sales Order #: 2274133070
RTD Screening Code: DOD
Reason for Rejection: Y9</t>
  </si>
  <si>
    <t>THIS VEHICLE WOULD HELP WITH NATURAL DISASTERS AND WATER RESCUES. TELLICO POLICE WILL ASSUME ALL COST AND EXPENSES.</t>
  </si>
  <si>
    <t>2YTLRG52410774</t>
  </si>
  <si>
    <t xml:space="preserve">
Sales Order #: 2272211186
RTD Screening Code: DOD
Reason for Rejection: Y9</t>
  </si>
  <si>
    <t>THIS ASSET WOULD BENEFIT THIS AGENCY AND ITS OFFICERS BY ALLOWING US TO UTILIZE THIS A CRIME SCENE INVESTIGATIONS VAN IN ORDER TO CARRY ALL EQUIPMENT AND SUPPLIES NEEDED TO RESPOND TO SCENES WHERE FURTHER OR EXENDED INVESTIGATIONS NEED TO BE CONDUCTED. WE WOULD REPAIR THIS ASSET AS NEEDED.</t>
  </si>
  <si>
    <t>2YTS0852410767</t>
  </si>
  <si>
    <t xml:space="preserve">
Sales Order #: 2274133097
RTD Screening Code: DOD
Reason for Rejection: Y9</t>
  </si>
  <si>
    <t>THIS ASSET WOULD BENEFIT OUR AGENCY AND OFFICER BY ALLOWING US TO UTILIZE THIS TO TRANSPORT OUR UTV OR HEAVIER EQUIPMENT TO LOCATIONS WHERE THEY ARE NEEDED SUCH AS EVENTS, MUTUAL AID ASSISTANCE CALLS, SEARCH AND RESCUE OPS, DISASTER AND RECOVERY RESPONSE. THIS ASSET WOULD BE REPAIRED IF NEEDED</t>
  </si>
  <si>
    <t>2YTS0852410755</t>
  </si>
  <si>
    <t xml:space="preserve">
Sales Order #: 2274162410
RTD Screening Code: DOD
Reason for Rejection: Y9</t>
  </si>
  <si>
    <t>THIS ASSET WOULD BENFIT OFFICERS AND OUR AGENCY BY ALLOWING US TO UTILIZE THE ASSET AS A SECURITY CHECKPOINT FOR SPECIAL EVENTS, CONCERTS, AND POLITICAL EVENTS TO SCAN AND DETER ANY ONE THAT WANTS TO CAUSE ISSUES. THIS ASSET WOULD INCREASE PUBLIC SAFETY AND SECURITY. WE WOULD REPAIR THIS ASSET AS NEEDED</t>
  </si>
  <si>
    <t>2YTS0852410737</t>
  </si>
  <si>
    <t xml:space="preserve">
Sales Order #: 2274138037
RTD Screening Code: DOD
Reason for Rejection: Y9</t>
  </si>
  <si>
    <t>2YTJKM52410786</t>
  </si>
  <si>
    <t xml:space="preserve">
Sales Order #: 2274138020
RTD Screening Code: DOD
Reason for Rejection: Y9</t>
  </si>
  <si>
    <t>2YT1PG52410721</t>
  </si>
  <si>
    <t xml:space="preserve">
Sales Order #: 2274160885
RTD Screening Code: DOD
Reason for Rejection: Y9</t>
  </si>
  <si>
    <t>THE MT. ORAB POLICE DEPARTMENT WOULD LIKE TO ACQUIRE THIS BOBCAT SKID STEER WITH MULCHER ATTACHMENT. WE HAVE A LARGE AREA AT OUR OUTDOOR RANGE THAT NEEDS TO BE CLEARED OF TREES AND BRUSH FOR AN EXPANSION. THIS MACHINE WOULD BE PERFECT FOR THAT TASK AND THE MULCHER HEAD WOULD SAVE A LARGE AMOUNT OF TIME, NOT HAVING TO CUT ALL THESE TREES.</t>
  </si>
  <si>
    <t>2YTH5S52410768</t>
  </si>
  <si>
    <t xml:space="preserve">
Sales Order #: 2274215289
RTD Screening Code: DOD
Reason for Rejection: Y9</t>
  </si>
  <si>
    <t>THE MT. ORAB POLICE DEPARTMENT WOULD LIKE TO ACQUIRE THIS UTV. THIS WOULD BE UTILIZED AND STORED AT OUR OUTDOOR RANGE. WITH THE ADDITION OF OUR NEW SIM SHOOT HOUSE, WE HAVE TO USE A TRUCK TO MOVE TARGETS AND EQUIPMENT BACK AND FORTH. THIS WOULD ALLOW A EASIER AND BETTER OPTION FOR US. THIS WOULD ALSO HELP VERY MUCH FOR OUR PRECISION SHOOTS WHO ARE SHOOTING AT 300 YARDS, TO CHECK THE TARGETS AFTER GROUP SHOTS.</t>
  </si>
  <si>
    <t>2YTH5S52410766</t>
  </si>
  <si>
    <t xml:space="preserve">
Sales Order #: 2274160887
RTD Screening Code: DOD
Reason for Rejection: Y9</t>
  </si>
  <si>
    <t>2YTH5S52410763</t>
  </si>
  <si>
    <t xml:space="preserve">
Sales Order #: 2274616794
RTD Screening Code: DOD
Reason for Rejection: Y9</t>
  </si>
  <si>
    <t>THIS WOULD BE USED BY LAW ENFORCEMENT AT THE JEFFERSON COUNTY SHERIFF'S OFFICE TO MAINTAIN PISTOL AND RIFLE BERMS AT THE TRAINING CENTER RANGE</t>
  </si>
  <si>
    <t>2YTFX452410772</t>
  </si>
  <si>
    <t xml:space="preserve">
Sales Order #: 2274616791
RTD Screening Code: DOD
Reason for Rejection: Y9</t>
  </si>
  <si>
    <t>DALE COUNTY SHERIFF'S OFFICE IS REQUESTING THIS TRAILER TO CONVERT TO A MOBILE COMMAND CENTER. IT WILL BE USED BY OUR DEPUTIES FOR CRIME SCENE RESPONSE, NATURAL DISASTERS, AND AVIATION SUPPORT.</t>
  </si>
  <si>
    <t>2YTC2852410794</t>
  </si>
  <si>
    <t xml:space="preserve">
Sales Order #: 2274152797
RTD Screening Code: DOD
Reason for Rejection: Y9</t>
  </si>
  <si>
    <t>2YTC2852410793</t>
  </si>
  <si>
    <t xml:space="preserve">
Sales Order #: 2274151815
RTD Screening Code: DOD
Reason for Rejection: Y9</t>
  </si>
  <si>
    <t>THE BRISTOL TENNESSEE POLICE DEPARTMENT NEEDS THIS TRUCK TO BE ABLE TO GET A LARGE TRAILER TO BE ABLE TO TRANSPORT AND PICK-UP ITEMS AWARDED FROM THE RTD SITE. THIS TRUCK WILL BE DRIVEN BY POLICE DEPARTMENT PERSONNEL. THE BASE STATES THE TRUCK JUST NEEDS BATTERIES.</t>
  </si>
  <si>
    <t>2YTBJQ52410714</t>
  </si>
  <si>
    <t xml:space="preserve">
Sales Order #: 2274138033
RTD Screening Code: DOD
Reason for Rejection: Y9</t>
  </si>
  <si>
    <t>2YTAG352410748</t>
  </si>
  <si>
    <t xml:space="preserve">
Sales Order #: 2274136724
RTD Screening Code: DOD
Reason for Rejection: Y9</t>
  </si>
  <si>
    <t>2YTJA952410806</t>
  </si>
  <si>
    <t xml:space="preserve">
Sales Order #: 2274138034
RTD Screening Code: DOD
Reason for Rejection: Y9</t>
  </si>
  <si>
    <t>2YTJL952410814</t>
  </si>
  <si>
    <t xml:space="preserve">
Sales Order #: 2274133092
RTD Screening Code: DOD
Reason for Rejection: Y9</t>
  </si>
  <si>
    <t>THIS EQUIPMENT WILL ONLY BE USED BY THE GLEASON POLICE DEPARTMENT. THIS ITEM WILL BE USED AT THE TRAINING FACILITY. THIS ITEM WILL BE USED AT THE POLICE TRAINING FACILITY. THIS ITEM WILL BE USED TO TRANSPORT SIDE BY SIDE TO THE TRAINING AREA. THIS ITEM WILL BE USED TO TRANSPORT TRAINING EQUIPMENT TO AND FROM THE TRAINING FACILITY TO THE DEPARTMENT.</t>
  </si>
  <si>
    <t>2YTEMC52410866</t>
  </si>
  <si>
    <t>BEING A SMALL RURAL POLICE DEPARTMENT, THIS EQUIPMENT WOULD GIVE US THE ABILITY TO BUILD A FIRING RANGE WHILE KEEPING OUR BUDGET IN TACT. THE RANG WOULD ALLOW OUR OFFICERS TO PRACTICE FIRE ARMS PROFICIENCY.</t>
  </si>
  <si>
    <t>2YTD1D52410848</t>
  </si>
  <si>
    <t>AS A SMALL RURAL POLICE DEPARTMENT, THIS PIECE OF EQUIPMENT WOULD ALLOW US TO BUILD A FIRING RANGE. THIS WOULD ALLOW OUR OFFICERS TO TRAIN TO BECOME MORE EFFICIENT IN WEAPONS UTILIZATION.</t>
  </si>
  <si>
    <t>2YTD1D52410847</t>
  </si>
  <si>
    <t xml:space="preserve">
Sales Order #: 2274140360
RTD Screening Code: DOD
Reason for Rejection: Y9</t>
  </si>
  <si>
    <t>MY AGENCY HAS A 52 ACRE TRAINING FACILITY IN PROCESS OF BEING CONSTRUCTED WITH 4 TOTAL RANGES, 2 TRAINING BUILDINGS AND AN EOD PIT. WE ARE IN NEED OF A VEHICLE SUCH AS THIS THAT CAN ASSIST US WITH MOVING TRAINING EQUIPMENT THROUGHOUT THE PROPERTY. ADDITIONALLY, WE DO NOT HAVE A SMALL ALL TERRAIN VEHICLE THAT WE COULD UTILIZE TO ASSIST IN LEO OPERATIONS THROUGHOUT OUR MANY PARK AND WILDLIFE AREAS.</t>
  </si>
  <si>
    <t>2YTDSG52410849</t>
  </si>
  <si>
    <t xml:space="preserve">
Sales Order #: 2274311899
RTD Screening Code: DOD
Reason for Rejection: Y9</t>
  </si>
  <si>
    <t>2YTQK952410833</t>
  </si>
  <si>
    <t xml:space="preserve">
Sales Order #: 2274328127
RTD Screening Code: DOD
Reason for Rejection: Y9</t>
  </si>
  <si>
    <t>2YTQK952410832</t>
  </si>
  <si>
    <t xml:space="preserve">
Sales Order #: 2274311890
RTD Screening Code: DOD
Reason for Rejection: Y9</t>
  </si>
  <si>
    <t>WILL BE UTILIZED BY DEA SRT FOR ENFORCEMENT OPERATIONS ON A WEEKLY BASIS</t>
  </si>
  <si>
    <t>2YTQK952410825</t>
  </si>
  <si>
    <t xml:space="preserve">
Sales Order #: 2274669853
RTD Screening Code: DOD
Reason for Rejection: Y9</t>
  </si>
  <si>
    <t>2YTSXU52410938</t>
  </si>
  <si>
    <t xml:space="preserve">
Sales Order #: 2274248911
RTD Screening Code: DOD
Reason for Rejection: Y9</t>
  </si>
  <si>
    <t>THIS AGENCY IS REQUESTING THIS ITEM TO BE USED BY AGENCY OFFICERS. THE ITEM WILL BE USED AS A COMMAND POST, IT WILL ALSO BE USED TO STORE AND TRANSPORT EMERGENCY EQUIPMENT FROM OUR BOMB SQUAD, SWAT, AND SWIFT WATER TEAM. THE TRAILER WILL ALSO BE USED TO MOVE EQUIPMENT AS NEEDED.</t>
  </si>
  <si>
    <t>2YTL5G52411000</t>
  </si>
  <si>
    <t xml:space="preserve">
Sales Order #: 2274133290
RTD Screening Code: DOD
Reason for Rejection: Y9</t>
  </si>
  <si>
    <t>2YTJA952410880</t>
  </si>
  <si>
    <t xml:space="preserve">
Sales Order #: 2274160889
RTD Screening Code: DOD
Reason for Rejection: Y9</t>
  </si>
  <si>
    <t>TO BE STORED AT THE SAN MARCOS POLICE DEPARTMENT AND UTILIZED BY THE AGENCY FOR LARGE SCALE OR PRIORITY INCIDENTS WHERE A MOBILE COMMAND POST IS NEEDED AS IT IS A NEED THAT THE AGENCY HAS BUT DUE TO CURRENT BUDGET CANNOT PURCHASE.</t>
  </si>
  <si>
    <t>2YTKPP52410986</t>
  </si>
  <si>
    <t xml:space="preserve">
Sales Order #: 2274399627
RTD Screening Code: DOD
Reason for Rejection: Y9</t>
  </si>
  <si>
    <t>2YTJL952410829</t>
  </si>
  <si>
    <t xml:space="preserve">
Sales Order #: 2274152784
RTD Screening Code: DOD
Reason for Rejection: Y9</t>
  </si>
  <si>
    <t>MOULTON POLICE IS NEED OF AN ENCLOSED TRAILER FOR VARIOUS USES, BUT MAINLY, WE WISH TO CONVERT THIS INTO A MOBILE COMMAND UNIT FOR SPECIAL EVENTS AND DISASTERS.</t>
  </si>
  <si>
    <t>2YTQP852410890</t>
  </si>
  <si>
    <t xml:space="preserve">
Sales Order #: 2274225617
RTD Screening Code: DOD
Reason for Rejection: Y9</t>
  </si>
  <si>
    <t>OUR AGENCY NEEDS THIS EQUIPMENT.  FOR USE BY REQUESTING AGENCY.  WILL BE ISSUED TO PATROL OFFICERS AND SWAT MEMBERS FOR IMPROVED RADIO COMMUNICATIONS AND HEARING PROTECTION DURING TRAINING AND LAW ENFORCEMENT OPERATIONS. OUR AGENCY HAS A NEED FOR THESE INVISIO HEADSETS. THIS EQUIPMENT IS COMPATIBLE WITH THE RADIOS USED BY OUR AGENCY.</t>
  </si>
  <si>
    <t>2YTHYA52410979</t>
  </si>
  <si>
    <t xml:space="preserve">
Sales Order #: 2274152803
RTD Screening Code: DOD
Reason for Rejection: Y9</t>
  </si>
  <si>
    <t>LOCHBUIE PD IS A SMALL AGENCY WITH A LIMITED BUDGET. THESE FLASHLIGHTS WOULD HELP PROVIDE OUR OFFICERS WITH THE NECESSARY TOOLS TO BE ABLE TO SAFELY PERFORM THEIR JOBS IN LOW-LIGHT SITUATIONS. WE WOULD USE THEM DAILY IN OUR POLICE DEPARTMENT</t>
  </si>
  <si>
    <t>2YTGVE52410988</t>
  </si>
  <si>
    <t xml:space="preserve">
Sales Order #: 2274140357
RTD Screening Code: DOD
Reason for Rejection: Y9</t>
  </si>
  <si>
    <t>LOCHBUIE PD IS A SMALL AGENCY WITH A LIMITED BUDGET, EVERY TOOL MATTERS. BINOCULARS WOULD HELP US LOCATE SUSPECTS, ASSIST IN SEARCH AND RESCUE, IMPROVE OFFICER SAFETY BY DETECTING THREATS, AND HELP US PROTECT OUR COMMUNITY</t>
  </si>
  <si>
    <t>2YTGVE52410960</t>
  </si>
  <si>
    <t xml:space="preserve">
Sales Order #: 2274225620
RTD Screening Code: DOD
Reason for Rejection: Y9</t>
  </si>
  <si>
    <t>LOCHBUIE PD IS A SMALL AGENCY WITH A LIMITED BUDGET, SO EVERY TOOL MATTERS. THESE HEADSETS WOULD BE A HUGE ASSET FOR US, ALLOWING OUR OFFICERS TO MORE EFFECTIVELY COMMUNICATE WITH EACH OTHER DURING DAY TO DAY ACTIVITIES AND TRAINING, WHILE ALSO PROVIDING HEARING PROTECTION WHILE AT THE RANGE.</t>
  </si>
  <si>
    <t>2YTGVE52410953</t>
  </si>
  <si>
    <t xml:space="preserve">
Sales Order #: 2274595659
RTD Screening Code: DOD
Reason for Rejection: Y9</t>
  </si>
  <si>
    <t>THIS TRAILER WOULD BE USED TO STORE AND TRANSPORT LAW ENFORCEMENT GEAR TO AND FROM CRIME SCENES, DEMONSTRATIONS, AND LAW ENFORCEMENT EVENTS.</t>
  </si>
  <si>
    <t>2YTGAF52410948</t>
  </si>
  <si>
    <t xml:space="preserve">
Sales Order #: 2274162428
RTD Screening Code: DOD
Reason for Rejection: Y9</t>
  </si>
  <si>
    <t>THE HICKMAN COUNTY SHERIFF'S OFFICE WOULD USE THIS VEHICLE TO RESPONSED TO CRIME SCENES, HELP MONITOR CRIMINAL ACTIVITY, SUSPECTED TERRORIST ACTIVITY AND A REHAB UNIT. HICKMAN COUNTY WILL ACCEPT THE UNIT IN THE CONDITION IT IS IN AND REPAIR AS NECESSARY.</t>
  </si>
  <si>
    <t>2YTFC252410928</t>
  </si>
  <si>
    <t xml:space="preserve">
Sales Order #: 2274133293
RTD Screening Code: DOD
Reason for Rejection: Y9</t>
  </si>
  <si>
    <t>WE ARE A SHERIFF DEPT WITH A LIMITED BUDGET. WE ARE IN NEED OF THIS TRAILER FOR OUR OFFICERS TO USE TRANSPORTING THEIR SIDE BY SIDES WHEN GOING TO SEARCH AND RESCUE MISSIONS. THIS TRAILER WOULD ALLOW THE OFFICERS TO LEAVE THE SIDE BY SIDES LOADED AT ALL TIMES FOR QUICKER DEPLOYMENT.</t>
  </si>
  <si>
    <t>2YTE4H52410992</t>
  </si>
  <si>
    <t xml:space="preserve">
Sales Order #: 2274160884
RTD Screening Code: DOD
Reason for Rejection: Y9</t>
  </si>
  <si>
    <t>THIS ATV WOULD AID OUR DEPARTMENT DURING LARGE EVENTS SUCH AS STREET FESTIVALS AND HOMECOMING. BEING AWARDED THIS EQUIPMENT WOULD ALLOW US TO UTILIZE THOSE BUDGETED FUNDS FOR OTHER NEEDS.</t>
  </si>
  <si>
    <t>2YTD1D52410871</t>
  </si>
  <si>
    <t xml:space="preserve">
Sales Order #: 2271529575
RTD Screening Code: DOD
Reason for Rejection: Y9</t>
  </si>
  <si>
    <t>THE FALL CREEK POLICE DEPARTMENT WILL USE THIS TRAILER FOR STORAGE AND FOR TRAINING PURPOSES FOR POLICE OFFICERS AND STAFF.</t>
  </si>
  <si>
    <t>2YTDYP52410949</t>
  </si>
  <si>
    <t>FALL CREEK POLICE DEPT (2YTDYP)</t>
  </si>
  <si>
    <t xml:space="preserve">
Sales Order #: 2274398569
RTD Screening Code: DOD
Reason for Rejection: Y9</t>
  </si>
  <si>
    <t>THIS VEHICLE COULD BE TRANSFORMED INTO A COMMAND CENTER FOR OUR POLICE DEPARTMENT. WITH HAVING TWO SCHOOLS AND BUSINESSES IN OUR COMMUNITY AND AN INTERSTATE HIGHWAY RUNNING THROUGH OUR TOWN, WITH ALSO BEING IN A RURAL AREA IT WOULD HELP DURING AN ACTIVE SHOOTER, MISSING PERSON OR EVEN A MAJOR ACCIDENT IN OUR AREA.</t>
  </si>
  <si>
    <t>2YTC3B52410990</t>
  </si>
  <si>
    <t xml:space="preserve">
Sales Order #: 2272211193
RTD Screening Code: DOD
Reason for Rejection: Y9</t>
  </si>
  <si>
    <t>THE TOWN OF CARMEL POLICE DEPARTMENT WILL USE THESE DURING ARREST OPERATIONS, SEARCH WARRANTS, FUGITIVE RECOVERY OPERATIONS, AND INCIDENTS WHERE INDIVIDUALS FLEE FROM LAW ENFORCEMENT. THIS WILL ALSO BE USED TO ASSIST OTHER SURROUNDING AGENCIES FOR LIKE INCIDENTS AS WELL AS NARCOTICS ENFORCEMENT AND ACTIVE SHOOTER INCIDENTS IF THEY ARISE. DLA DS TUCSON HAS BEEN CONTACTED AND CONFIRMED THE ITEM'S CONDITION</t>
  </si>
  <si>
    <t>2YTBZS52410908</t>
  </si>
  <si>
    <t xml:space="preserve">
Sales Order #: 2274595676
RTD Screening Code: DOD
Reason for Rejection: Y9</t>
  </si>
  <si>
    <t>THIS MACHINE WOULD BE USED BY THE SHERIFF'S OFFICE TO MAINTAIN AND SUPPORT POLICE VEHICLES.  WE HAVE 200 VEHICLES AT THE SHERIFF'S OFFICE AND ALL ARE MAINTAINED IN HOUSE.</t>
  </si>
  <si>
    <t>2YTGAF52411099</t>
  </si>
  <si>
    <t>ENHANCING OFFICER SAFETY DURING NIGHT TIME FUGITIVE APPREHENSION DUE TO LACK OF ARTIFICIAL LIGHT IN AREA OF OPERATIONS.</t>
  </si>
  <si>
    <t>2YTJCA52411199</t>
  </si>
  <si>
    <t>PALMER POLICE DEPARMENT (2YTJCA)</t>
  </si>
  <si>
    <t xml:space="preserve">
Sales Order #: 2274616759
RTD Screening Code: DOD
Reason for Rejection: Y9</t>
  </si>
  <si>
    <t>THE LEVEL PLAINS POLICE DEPT WOULD UTILZE WITH POLICE DUTIES IN AND AROUND THE CITY TO INCLUDE CODE ENFORCEMENT AND ANIMAL CONTROL</t>
  </si>
  <si>
    <t>2YTRNR52411184</t>
  </si>
  <si>
    <t xml:space="preserve">
Sales Order #: 2274595671
RTD Screening Code: DOD
Reason for Rejection: Y9</t>
  </si>
  <si>
    <t>THE SHERIFF'S OFFICE HAS OVER 30 TRAILERS AND A HELICOPTER.  THIS MACHINE WOULD ASSIST IN MOVING THEM AROUND THE YARD IN PREPARATION FOR LAW ENFORCEMENT MISSIONS.</t>
  </si>
  <si>
    <t>2YTGAF52411138</t>
  </si>
  <si>
    <t xml:space="preserve">
Sales Order #: 2274396634
RTD Screening Code: DOD
Reason for Rejection: Y9</t>
  </si>
  <si>
    <t>2YTDSG52411190</t>
  </si>
  <si>
    <t>PALMER PD REQUIRES AN UNINTERRUPTIBLE POWER SUPPLY UPS TO ENSURE CONTINUOUS OPERATIONS OF OUR DISPATCH CENTER AS WELL AS OTHER CRITICAL COMMUNICATION SYSTEMS. RELIABLE BACKUP POWER IS ESSENTIAL FOR MAINTAINING 911 CALL-TAKING, RADIO DISPATCHING, AND OFFICER SAFETY DURING UTILITY OUTAGES. THIS REQUISITION WILL DIRECTLY SUPPORT LIFE-SAFETY OPERATIONS FOR THE CITY OF PALMER AND SURROUNDING COMMUNITIES.</t>
  </si>
  <si>
    <t>POWER SUPPLY</t>
  </si>
  <si>
    <t>2YTJCA52411249</t>
  </si>
  <si>
    <t xml:space="preserve">
Sales Order #: 2274595673
RTD Screening Code: DOD
Reason for Rejection: Y9</t>
  </si>
  <si>
    <t>THE SHERIFFS OFFICE RESPONDS TO NEARLY ALL SEARCH AND RESCUE OPERATIONS WITHIN THE 1310 SQUARE MILE JURISDICTION ALONG WITH THE 250,000 ACRES OF FOREST AREA AND 18 LAKES, 54 MILES OF RIVER.  THIS THERMAL IMAGER WOULD ASSIST IN SUCH RESCUE MISSIONS.</t>
  </si>
  <si>
    <t>2YTGAF52411234</t>
  </si>
  <si>
    <t xml:space="preserve">
Sales Order #: 2274595674
RTD Screening Code: DOD
Reason for Rejection: Y9</t>
  </si>
  <si>
    <t>THIS CART WOULD BE USED TO TRANSPORT LAW ENFORCEMENT PACKAGES RECEIVED FROM SHIPPING TO VARIOUS LOCATIONS WITHIN THE AGENCY, AS WE HAVE SEVERAL BUILDINGS ON THE CAMPUS.</t>
  </si>
  <si>
    <t>2YTGAF52411227</t>
  </si>
  <si>
    <t xml:space="preserve">
Sales Order #: 2274616779
RTD Screening Code: DOD
Reason for Rejection: Y9</t>
  </si>
  <si>
    <t>THIS ITEM WILL BE USED BY OUR INVESTIGATORS TO ENFORCE NARCOTICS LAWS AND USED IN UNDERCOVER OPERATIONS.</t>
  </si>
  <si>
    <t>2YTC3A52411230</t>
  </si>
  <si>
    <t>DALEVILLE DEPT OF PUBLIC SAFETY (2YTC3A)</t>
  </si>
  <si>
    <t xml:space="preserve">
Sales Order #: 2274616743
RTD Screening Code: DOD
Reason for Rejection: Y9</t>
  </si>
  <si>
    <t>MOULTON POLICE WOULD LIKE TO ACQUIRE THIS ITEM TO BE USED FOR OFF-ROAD CONDITIONS AND SPECIAL EVENTS. WE HAVE A COUPLE OF LARGE PARKS WHERE WE HAVE A NEED TO ACCESS CERTAIN AREAS THAT ARE DIFFICULT TO ACCESS WITH A REGULAR PATROL VEHICLE.</t>
  </si>
  <si>
    <t>2YTQP852411272</t>
  </si>
  <si>
    <t xml:space="preserve">
Sales Order #: 2274616713
RTD Screening Code: DOD
Reason for Rejection: Y9</t>
  </si>
  <si>
    <t>MOULTON POLICE IS IN NEED OF A VAN THAT COULD BE UTILIZED FOR A CRIME SCENE VEHICLE. THIS COULD BE USED TO RESPOND TO CRIME SCENES AND SPECIAL RESPONSES.</t>
  </si>
  <si>
    <t>2YTQP852411269</t>
  </si>
  <si>
    <t xml:space="preserve">
Sales Order #: 2274616745
RTD Screening Code: DOD
Reason for Rejection: Y9</t>
  </si>
  <si>
    <t>LEVEL PLAINS POLICE DEPT WOULD UTILIZE ATV IN SEARCH AND RESCUE MISSIONS, DURING NATURAL DIASTERS, EDERLY AND JUVENILE SUBJECTS IN RURAL AREAS WHICH ARE NOT AS ACCESSIBLE.</t>
  </si>
  <si>
    <t>2YTRNR52411278</t>
  </si>
  <si>
    <t xml:space="preserve">
Sales Order #: 2274595678
RTD Screening Code: DOD
Reason for Rejection: Y9</t>
  </si>
  <si>
    <t>THIS FUEL TRANSFER PUMP WOULD BE USED TO FUEL LAW ENFORCEMENT EQUIPMENT SUCH AS BOATS AND DIRT BIKES FOR USE IN EMERGENCY RESPONSE SITUATIONS.</t>
  </si>
  <si>
    <t>PUMP,FUEL TRANSFER</t>
  </si>
  <si>
    <t>2YTGAF52411265</t>
  </si>
  <si>
    <t xml:space="preserve">
Sales Order #: 2274616760
RTD Screening Code: DOD
Reason for Rejection: Y9</t>
  </si>
  <si>
    <t>THIS ITEM WILL BE USED ACCESS AREAS STANDARD PATROL VEHICLES CANNOT, INCLUDING WOODED TRAILS, FIELDS, AND FLOOD ZONES. IT WILL ENHANCE SEARCH AND RESCUE, DISASTER RESPONSE, CRIME PREVENTION IN REMOTE AREAS, AND MOBILITY DURING SPECIAL EVENTS. THIS EQUIPMENT IMPROVES OFFICER SAFETY, RESPONSE TIMES, AND COMMUNITY SERVICE</t>
  </si>
  <si>
    <t>2YTC3A52411254</t>
  </si>
  <si>
    <t>MOULTON POLICE WOULD LIKE TO ACQUIRE THIS PROPERTY FOR THE PURPOSE OF LAW ENFORCEMENT SURVEILLANCE. WE HAVE NIGHT VISION EQUIPMENT BUT ARE IN NEED OF THERMAL IMAGING EQUIPMENT.</t>
  </si>
  <si>
    <t>2YTQP852411403</t>
  </si>
  <si>
    <t>FOR THE PROSPECT POLICE DEPT TO ISSUE TO OFFICERS TO USE IN LOW LIGHT CONDITIONS.</t>
  </si>
  <si>
    <t>2YTJYC52411521</t>
  </si>
  <si>
    <t xml:space="preserve">
Sales Order #: 2274609489
RTD Screening Code: DOD
Reason for Rejection: Y9</t>
  </si>
  <si>
    <t>2YTHYA52481524</t>
  </si>
  <si>
    <t xml:space="preserve">
Sales Order #: 2274682161
RTD Screening Code: DOD
Reason for Rejection: Y9</t>
  </si>
  <si>
    <t>2YTCJX52411558</t>
  </si>
  <si>
    <t xml:space="preserve">
Sales Order #: 2274970014
RTD Screening Code: DOD
Reason for Rejection: Y9</t>
  </si>
  <si>
    <t>IT WILL ENHANCE OFFICER SAFETY AND EFFECTIVENESS DURING DISASTER RESPONSES, ACTIVE SHOOTER SITUATIONS, AND SEARCH AND RESCUE MISSIONS. SUPPORTING OUR AGENCY'S MISSION TO PROTECT THE PUBLIC AND RESPOND TO INCIDENTS IN LOW OR NO LIGHT VISIBILITY SITUATIONS.</t>
  </si>
  <si>
    <t>2YTMY852411641</t>
  </si>
  <si>
    <t>VAN METER POLICE DEPT (2YTMY8)</t>
  </si>
  <si>
    <t xml:space="preserve">
Sales Order #: 2274803126
RTD Screening Code: DOD
Reason for Rejection: Y9</t>
  </si>
  <si>
    <t>RCSO NEEDS THESE TRAINING AIDS TO ASSSIST WITH INSTRUCTION AND SCENARIO BASED TRAINING FOR THE AGENCY.  THE TRAINING AIDS WOULD BE USED FOR INSTRUCTIONAL PURSPOSES ONLY AND BY SWORN LAW ENFORECEMENT OFFICALS.</t>
  </si>
  <si>
    <t>2YTJ7852481640</t>
  </si>
  <si>
    <t xml:space="preserve">
Sales Order #: 2274775278
RTD Screening Code: DOD
Reason for Rejection: Y9</t>
  </si>
  <si>
    <t>2YTJ7852481639</t>
  </si>
  <si>
    <t>2YTJL952411619</t>
  </si>
  <si>
    <t xml:space="preserve">
Sales Order #: 2274865864
RTD Screening Code: DOD
Reason for Rejection: Y9</t>
  </si>
  <si>
    <t>TO BE USED DURING THE TRAINING OF LAW ENFORCEMENT OFFICERS DURING VARIOUS EXERCISES.</t>
  </si>
  <si>
    <t>2YTEZF52481635</t>
  </si>
  <si>
    <t>TPD REQUEST THESE STRUCTURES TO USE IN STORING PARTS, EVIDENCE, OR EQUIPMENT USED IN AND COLLECTED FROM ACTS OF TERROR, MASS CASUALTY, OR HIGH PROFILE CRIME SCENES.</t>
  </si>
  <si>
    <t>2YTL1552401701</t>
  </si>
  <si>
    <t xml:space="preserve">
Sales Order #: 2274940947
RTD Screening Code: DOD
Reason for Rejection: Y9</t>
  </si>
  <si>
    <t>THE SCOTLAND COUNTY SHERIFF'S OFFICE WOULD LIKE TO REQUEST THESE ITEMS TO BETTER ASSIST OUR SAT TEAM AND DEPUTIES IN TRAINING FOR AND RESPONDING COUNTER DRUG AND COUNTER TERRORISM INCIDENTS WHICH MAY OCCUR WITHIN OUR JURISDICTION.</t>
  </si>
  <si>
    <t>2YTKUK52481700</t>
  </si>
  <si>
    <t xml:space="preserve">
Sales Order #: 2274908226
RTD Screening Code: DOD
Reason for Rejection: Y9</t>
  </si>
  <si>
    <t>2YTJ7852481710</t>
  </si>
  <si>
    <t xml:space="preserve">
Sales Order #: 2274866270
RTD Screening Code: DOD
Reason for Rejection: Y9</t>
  </si>
  <si>
    <t>WE REQUESTS NIGHT VISION GOGGLES TO IMPROVE DEPUTY SAFETY AND EFFECTIVENESS IN LOW LIGHT OPERATIONS. NVGS WILL ENHANCE RESPONSES TO CRIMINAL ACTIVITY, SEARCHES, AND RESCUES IN RURAL AREAS WITH LIMITED LIGHTING. THEY PROVIDE A TACTICAL ADVANTAGE, ALLOWING DEPUTIES TO OBSERVE UNDETECTED, INCREASING SURVIVABILITY AND STRENGTHENING PUBLIC SAFETY DURING NIGHTTIME INCIDENTS.</t>
  </si>
  <si>
    <t>2YTHWR52411674</t>
  </si>
  <si>
    <t>FOR USE BY FCSO SWAT, K9 AND SPECIAL SERVICES OFFICERS IN HOSTAGE RESCUES, AND RURAL SEARCH AND RESCUE OPERATIONS</t>
  </si>
  <si>
    <t>2YTDXH52411669</t>
  </si>
  <si>
    <t>THESE ITEMS WILL BE UTILIZED BY OUR PATROL DEPUTIES TO BETTER PERFORM THEIR JOB DUTIES SAFELY AND EFFECTIVELY IN LOUD AND DYNAMIC ENVIRONMENTS. 
WE HAVE REVIEW THE PICTURES PROVIDED AND ARE SATISFIED WITH THE ITEMS.</t>
  </si>
  <si>
    <t>2YTNED52411736</t>
  </si>
  <si>
    <t>WEAKLEY COUNTY SHERIFFS OFFICE (2YTNED)</t>
  </si>
  <si>
    <t xml:space="preserve">
Sales Order #: 2274887305
RTD Screening Code: DOD
Reason for Rejection: Y9</t>
  </si>
  <si>
    <t>2YTMY852411729</t>
  </si>
  <si>
    <t>TO BE ISSUED TO TRAINING STAFF FROM SCENARIO BASED TRAINING</t>
  </si>
  <si>
    <t>2YTLK552411723</t>
  </si>
  <si>
    <t>WILL BE ISSUED TO TRAINING DEPUTIES TO WEAR DURING TRAINING FROM LONG PERIODS OF TIME</t>
  </si>
  <si>
    <t>2YTLK552411722</t>
  </si>
  <si>
    <t>PERSON COUTY CONTACTED THE SITE AND EXCEPTS THE ITEM IN ITS CONDITION. PERSON COUNTY CAN USE THE ITEMS TO BE ABLE TO ATTACH THE ITEMS TO CAMERAS TO CONDUCT NIGHT TIME PHOTOGRAPHY FOR NARCOTICS OPERATIONS AS WELL AS NIGHT TIME PRE RAID OPERATIONS.</t>
  </si>
  <si>
    <t>2YTJKM52411734</t>
  </si>
  <si>
    <t>THIS ITEM WILL BE UTILIZED AT LAW ENFORCEMENT OPERATIONS TO PROVIDE UNINTERRUPTED POWER TO LAW ENFORCEMENT COMMO AND IT EQUIPMENT</t>
  </si>
  <si>
    <t>UNINTERRUPTIBLE POWER SUPPLY/BACKUP</t>
  </si>
  <si>
    <t>DSUPS0002</t>
  </si>
  <si>
    <t>2YT0E752411748</t>
  </si>
  <si>
    <t>2YTKSE52411658</t>
  </si>
  <si>
    <t>2YTKSE52411657</t>
  </si>
  <si>
    <t>2YTKSE52411656</t>
  </si>
  <si>
    <t>THIS ITEM WILL BE UTILIZED BY LAW ENFORCEMENT PERSONNEL FOR THEIR STANDARD ISSUED 5.56MM PATROL RIFLES.  BY ACQUIRING THIS VIA THIS CHANNEL IT WILL FREE PUBLIC FUNDING TO PURCHASE OTHER LAW ENFORCEMENT NECESSITIES.  THIS ITEM WILL BE ISSUED AND DOCUMENTED IN ACCORDANCE WITH CONTROLLED ITEM REGULATIONS.</t>
  </si>
  <si>
    <t>2YT0E752411749</t>
  </si>
  <si>
    <t>FOR USE BY RESCUE AND LE TEAMS TO MOUNT LIGHTS AND OTHER ACCESSORIES TO HELMETS FOR USE IN LOW LIGHT INDOOR AND OUTDOOR ENVIRONMENTS FOR TRAINING AND FOR OPERATIONS FOR OFFICER SAFETY AND LOOKING FOR INJURED PERSONNEL</t>
  </si>
  <si>
    <t>2YTMGW52481793</t>
  </si>
  <si>
    <t>FOR USE BY THIS LEA ONLY. TO BE USED BY THE LEOS OF THIS AGENCY. THIS NVG MOUNT WILL BE UTILIZED TO SECURELY ATTACH NIGHT VISION DEVICES TO HELMETS DURING LAW ENFORCEMENT OPERATIONS.</t>
  </si>
  <si>
    <t>2YTEY452481842</t>
  </si>
  <si>
    <t xml:space="preserve">
Sales Order #: 2273006213
RTD Screening Code: DOD
Reason for Rejection: YG</t>
  </si>
  <si>
    <t>THIS BUCKET WOULD BE USED ON OUR 1033 ISSUED SKID LOADER FOR USE OF MAINTAINING THE OCEANA COUNTY SHERIFF'S OFFICE FIRING RANGE.</t>
  </si>
  <si>
    <t>2YT1XS52209568</t>
  </si>
  <si>
    <t xml:space="preserve">
Sales Order #: 2272282747
RTD Screening Code: DOD
Reason for Rejection: YG</t>
  </si>
  <si>
    <t>THIS GENERATOR WOULD BE USED BY THE OCEANA COUNTY SHERIFF'S OFFICE FOR USE DURING LARGE SCALE INCIDENTS AND SEARCH AND RESCUE OPERATIONS IN THE RURAL PORTIONS OF OUR COUNTY WHERE ELECTRICITY IS NOT AVAILABLE. THIS UNIT WOULD BE STORED ON THE SHERIFF'S OFFICE INCIDENT COMMAND TRAILER</t>
  </si>
  <si>
    <t>2YT1XS52279800</t>
  </si>
  <si>
    <t xml:space="preserve">
Sales Order #: 2272804547
RTD Screening Code: DOD
Reason for Rejection: YG</t>
  </si>
  <si>
    <t>FOR USE DURING NATURAL DISASTERS. AS WELL AS USE AT TRAINING FACILITIES. CONDITION H KNOWN</t>
  </si>
  <si>
    <t>2YTGK952279940</t>
  </si>
  <si>
    <t xml:space="preserve">
Sales Order #: 2273583601
RTD Screening Code: DOD
Reason for Rejection: YG</t>
  </si>
  <si>
    <t>THESE BOOTS WILL BE ISSUED TO AGENTS WHO ARE PART OF OUR ESF 13 TEAM WHO DEPLOY WITH FEMA TO DISASTER AREAS.</t>
  </si>
  <si>
    <t>2YTSXU52270044</t>
  </si>
  <si>
    <t xml:space="preserve">
Sales Order #: 2273804111
RTD Screening Code: DOD
Reason for Rejection: YG</t>
  </si>
  <si>
    <t>2YTSXU52270043</t>
  </si>
  <si>
    <t xml:space="preserve">
Sales Order #: 2272913506
RTD Screening Code: DOD
Reason for Rejection: YG</t>
  </si>
  <si>
    <t>TO BE USED BY OFFICERS FOR FORCE-ON-FORCE TRAINING.</t>
  </si>
  <si>
    <t>MODIFICATION KIT, GUN</t>
  </si>
  <si>
    <t>2YTP4G52270100</t>
  </si>
  <si>
    <t xml:space="preserve">
Sales Order #: 2274328125
RTD Screening Code: DOD
Reason for Rejection: Z2</t>
  </si>
  <si>
    <t>FOR USE BY REQUESTING AGENCY.  WILL BE USED AT OUR AGENCY FOR FLAG DISPLAY.  WILL BE USED FOR LAW ENFORCEMENT PURPOSES ONLY.  OUR AGENCY HAS MULTIPLE FLAG POLES AND WILL USE THESE ITEMS ON THE FLAG POLES.</t>
  </si>
  <si>
    <t>2YTHYA52411112</t>
  </si>
  <si>
    <t>THE SARDINIA POLICE DEPARTMENT IS REQUESTING RESOURCES TO TRANSPORT PERSONNEL TO AND FROM CRITICAL SITUATIONS. IN THE EVENT OF A CRITICAL SITUATION WHERE THE NEED TO TRANSPORT PERSONNEL IS NOT PROVIDED OR AVAILABLE, HAVING A RECOURSE TO TRANSPORT PERSONNEL FOR SARDINIA POLICE DEPARTMENT WILL CONTINUE POLICE OPERATIONAL STATUS AS FIRST RESPONDER TO PROTECT AND SERVE IN CRITICAL SITUATIONS.</t>
  </si>
  <si>
    <t>2YTKSE52340379</t>
  </si>
  <si>
    <t xml:space="preserve">
Sales Order #: 2274173819
RTD Screening Code: DOD
Reason for Rejection: YH</t>
  </si>
  <si>
    <t>THE CCPD IS REQUESTING THIS TRUCK.IT WILL BE USED IN BY CCPD FOR LAW ENFORCEMENT FOR OUR HELICOPTER UNIT.THE VEHICLE WILL BE USED DAILY TO STORE AND REFUEL HELICOPTERS FOR POLICE PATROL. IT IS DESPERATELY NEEDED TO REPLACE OUR CURRENT 1978 MIL TANKER. MAINT HAS STIPULATED THAT THE CURRENT VEHICLE IS UNFEASIBLE TO BE MAINTAINED DUE TO AGE, SAFETY AND HIGH MAINT COSTS.DUE TO BUDGET, REPAIR AND REPLACEMENT IS NOT FEASIBLE.THIS TRUCK WILL ENABLE THE CCPD TO CONTINUE SAFE AND CRITICAL LE OPERATIONS.</t>
  </si>
  <si>
    <t>TRUCK,TANK</t>
  </si>
  <si>
    <t>2YTCHK52410968</t>
  </si>
  <si>
    <t xml:space="preserve">
Sales Order #: 2274250795
RTD Screening Code: DOD
Reason for Rejection: YH</t>
  </si>
  <si>
    <t>THESE VEHICLES WILL BE USED BY INVESTIGATORS TO CONDUCT UNDERCOVER OPERATIONS FOR LAW ENFORCEMENT PURPOSES.</t>
  </si>
  <si>
    <t>2YTNUS52411080</t>
  </si>
  <si>
    <t xml:space="preserve">
Sales Order #: 2274343868
RTD Screening Code: DOD
Reason for Rejection: YH</t>
  </si>
  <si>
    <t>THE TUCSON POLICE DEPT IS SEEKING THESE CASES TO BE USED BY DETECTIVE UNITS TO STORE ITEMS USED IN THE COLLECTION AND PROCESSING OF SCENES DURING INVESTIGATIONS.</t>
  </si>
  <si>
    <t>2YTLZ852341160</t>
  </si>
  <si>
    <t xml:space="preserve">
Sales Order #: 2274399635
RTD Screening Code: DOD
Reason for Rejection: YH</t>
  </si>
  <si>
    <t>THE TUCSON POLICE DEPT IS SEEKING THESE CASES TO BE USED BY PATROL OFFICERS TO PROTECT PATROL RIFLES WHILE ON DUTY.</t>
  </si>
  <si>
    <t>2YTLZ852341143</t>
  </si>
  <si>
    <t xml:space="preserve">
Sales Order #: 2274619958
RTD Screening Code: DOD
Reason for Rejection: Y9</t>
  </si>
  <si>
    <t>THIS ITEM WILL ONLY BE USED BY THE GLEASON POLICE DEPARTMENT. THIS ITEM WILL BE USED TO FIX LIGHTS AT THE TRAINING FACILITY AND RANGE. THIS ITEM WILL BE USED TO HELP DURING STORMS TO MOVE DEBRIS.</t>
  </si>
  <si>
    <t>TRUCK,SERVICING PLA</t>
  </si>
  <si>
    <t>2YTEMC52481374</t>
  </si>
  <si>
    <t xml:space="preserve">
Sales Order #: 2274550273
RTD Screening Code: DOD
Reason for Rejection: Y9</t>
  </si>
  <si>
    <t>FOR USE BY ON DUTY OSD OFFICERS WHEN OPERATING BREACHING OR CUTTING EQUIPMENT, THIS WOULD PROVIDE EYE PROTECTION FOR THE OFFICERS WHEN MAKING FORCED ENTRY INTO STRUCTURES AND VEHICLES.</t>
  </si>
  <si>
    <t>GOGGLES,FIREMAN'S</t>
  </si>
  <si>
    <t>2YT1WK52481402</t>
  </si>
  <si>
    <t xml:space="preserve">
Sales Order #: 2275045665
RTD Screening Code: DOD
Reason for Rejection: Y9</t>
  </si>
  <si>
    <t>THESE FLASHLIGHTS WILL BE USED BY PATROL OFFICER AND SRT OPERATORS AS A TASK LIGHT WHEN THEY DO NOT WANT TO USE A HANDHELD LIGHT.</t>
  </si>
  <si>
    <t>2YTHDF52551800</t>
  </si>
  <si>
    <t xml:space="preserve">
Sales Order #: 2275052311
RTD Screening Code: DOD
Reason for Rejection: Y9</t>
  </si>
  <si>
    <t>THIS SET WOULD BE USED TO MAINTAIN MARINE, BACK COUNTRY, AND SEARCH AND RESCUE EQUIPMENT.</t>
  </si>
  <si>
    <t>DIE AND TAP SET,THREAD CUTTING</t>
  </si>
  <si>
    <t>2YTGAF52481788</t>
  </si>
  <si>
    <t>FOR USE BY RESCUE AND LE TEAMS TO SEE IN LOW LIGHT INDOOR AND OUTDOOR ENVIRONMENTS FOR TRAINING AND FOR OPERATIONS FOR OFFICER SAFETY AND LOOKING FOR INJURED PERSONNEL</t>
  </si>
  <si>
    <t>2YTMGW52551789</t>
  </si>
  <si>
    <t>REQUEST FOR FBI CLEVELAND FOLLOWING ITS AND INTERNAL RISK ASSESSMENT APPROVAL. ITEM WOULD BE ISSUED FOR LAW ENFORCEMENT USE AND PURPOSE ONLINE. LAPTOP AND MOBILE DEVICES WOULD ASSIST IN DAILY ACTIVITY AND OPERATIONS.</t>
  </si>
  <si>
    <t>LAPTOP COMPUTER</t>
  </si>
  <si>
    <t>DSLAPTOP2</t>
  </si>
  <si>
    <t>2YTMRH52481858</t>
  </si>
  <si>
    <t xml:space="preserve">
Sales Order #: 2275045662
RTD Screening Code: DOD
Reason for Rejection: Y9</t>
  </si>
  <si>
    <t>THIS WOULD BE USED TO REPLACE OUR COMMAND POST THAT WAS DESTROYED IN A FIRE AT OUR POLICE DEPARTMENT.  IT WOULD BE USED FOR MAJOR INCIDENTS WHILE INVESTIGATING THE CRIME.</t>
  </si>
  <si>
    <t>2YTCMH52831929</t>
  </si>
  <si>
    <t>COEUR D' ALENE POLICE DEPT (2YTCMH)</t>
  </si>
  <si>
    <t xml:space="preserve">
Sales Order #: 2267260252
RTD Screening Code: DOD
Reason for Rejection: YH</t>
  </si>
  <si>
    <t>WASHINGTON COUNTY SHERIFF OFFICE IS A LAW ENFORCEMENT AGENCY IN THE STATE OF VIRGINIA. OUR AGENCY COULD USE THIS VEHICLE FOR PATROLING AND PRISIONER TRANSPORTS. THIS VEHICLE WILL BE USE BY LAW ENFORCEMENT PERSONAL.</t>
  </si>
  <si>
    <t>2YTM9Q51221803</t>
  </si>
  <si>
    <t xml:space="preserve">
Sales Order #: 2267538096
RTD Screening Code: DOD
Reason for Rejection: YH</t>
  </si>
  <si>
    <t>THE MADISONVILLE POLICE DEPARTMENT IS REQUESTING THIS TRUCK FOR USE BY OUR OFFICERS. YEARS AGO OUR DEPARTMENT WAS AWARDED A TRUCK LIKE THIS WHICH IS NO LONGER IN SERVICE. THIS TRUCK WOULD BE USED FOR UNDERCOVER TRAFFIC ENFORCEMENT, TRANSPORTATION OF OUR MRAP, AND HAULING OF LARGE EVIDENCE. DUE TO BUDGET CONSTRAINTS WE ARE CURRENTLY UNABLE TO PURCHASE MUCH NEEDED EQUIPMENT LIKE THIS TRUCK. THANKS</t>
  </si>
  <si>
    <t>2YTG5751292720</t>
  </si>
  <si>
    <t>TO PERFORM MAINTENANCE ON AGENCY OWNED EQUIPMENT, VEHICLES AND WEAPONS.</t>
  </si>
  <si>
    <t>2YTMVW52209383</t>
  </si>
  <si>
    <t xml:space="preserve">
Sales Order #: 2272394003
RTD Screening Code: DOD
Reason for Rejection: YG</t>
  </si>
  <si>
    <t>SCOTLAND COUNTY SHERIFF'S OFFICE IS REQUESTING THIS VEHICLE FOR BOTH COUNTER-DRUG AND SEARCH AND RESCUE OPERATIONS. THE AGENCY CURRENTLY HAS NO VEHICLES CAPABLE OF FULFILLING EITHER OF THESE ROLES.  THIS VEHICLE WILL  HELP MAKE THE SHERIFF'S OFFICE BETTER SERVE THE COMMUNITY IN TIMES OF NEED.</t>
  </si>
  <si>
    <t>2YTKUK52270050</t>
  </si>
  <si>
    <t xml:space="preserve">
Sales Order #: 2270093524
RTD Screening Code: DOD
Reason for Rejection: YH</t>
  </si>
  <si>
    <t>THE BELLA VISTA POLICE DEPARTMENT WOULD UTILIZE THIS VAN FOR MOVING EQUIPMENT AND PERSONNEL. THIS EQUIPMENT WILL BE USED FOR LAW ENFORCEMENT PURPOSES ONLY.</t>
  </si>
  <si>
    <t>2YTA2S52340388</t>
  </si>
  <si>
    <t xml:space="preserve">
Sales Order #: 2270036394
RTD Screening Code: DOD
Reason for Rejection: Y9</t>
  </si>
  <si>
    <t>WASHINGTON COUNTY SHERIFF'S OFFICE IS A LAW ENFORCEMENT AGENCY IN THE STATE OF VIRGINIA. OUR AGENCY COULD USE THIS CHEVROLET SUV FOR PATROLING AND TRANSPORTING PRISIONERS. THIS VEHICLE WILL BE USE BY LAW ENFORCEMENT PERSONNEL.</t>
  </si>
  <si>
    <t>2YTM9Q52481332</t>
  </si>
  <si>
    <t xml:space="preserve">
Sales Order #: 2274550269
RTD Screening Code: DOD
Reason for Rejection: Y9</t>
  </si>
  <si>
    <t>FOR USE BY ON DUTY OSD OFFICERS FOR THE TRANSPORT OF PERSONNEL AND EQUIPMENT. THE INTENT IS TO UTILIZE THE VEHICLE WITHIN THE SHERIFF'S TECHNICAL SUPPORT GROUP. IT APPEARS THAT THIS VEHICLE HAS EXTERNAL CONNECTION POINTS WHICH WOULD BE USED FOR OUR SWAT, DRONE, COUNTER DRONE TEAMS, FOR POWER AND DATA NETWORKING, ALLOWING COORDINATED RESPONSE ON INCIDENTS SCENES.</t>
  </si>
  <si>
    <t>2YT1WK52481290</t>
  </si>
  <si>
    <t>THE FULTON COUNTY SHERIFFS OFFICE IS REQUESTING THIS SUV SO IT CAN BE UTILIZED FOR PATROL AND EMERGENCY OPERATIONS. THIS WILL PROVIDE THE TRANSPORTATION NEEDED FOR DEPUTIES AND BE UTILIZED DURING EMERGENCY SITUATIONS. THIS WILL FURTHER BE USED AS A MOBILE COMMAND VEHICLE ALLOWING EMERGENCY SCENES TO BE MANAGED FROM VARIOUS LOCATIONS.</t>
  </si>
  <si>
    <t>2YTEED52481284</t>
  </si>
  <si>
    <t xml:space="preserve">
Sales Order #: 2274619842
RTD Screening Code: DOD
Reason for Rejection: Y9</t>
  </si>
  <si>
    <t>THE BRISTOL TENNESSEE POLICE DEPARTMENT PLANS TO EQUIP THIS VEHICLE WITH DRONE EQUIPMENT TO RESPOND WHEN PEOPLE ARE LOST OR THE USE OF THE DRONE IS NEEDED FOR OTHER LAW ENFORCEMENT DUTIES.</t>
  </si>
  <si>
    <t>2YTBJQ52481330</t>
  </si>
  <si>
    <t xml:space="preserve">
Sales Order #: 2269911128
RTD Screening Code: DOD
Reason for Rejection: Y9</t>
  </si>
  <si>
    <t>THE BATTERY JUMPER CABLE WILL BE USED BY THE ARP POLICE DEPARTMENT FOR LAW ENFORCEMENT PURPOSES ONLY. OFFICERS WILL USE THE JUMPER CABLES TO JUMP OFF PATROL UNITS, LESO AWARDED EQUIPMENT AND CITIZEN VEHICLES.</t>
  </si>
  <si>
    <t>JUMPER CABLE,BATTER</t>
  </si>
  <si>
    <t>2YTANX52481329</t>
  </si>
  <si>
    <t xml:space="preserve">
Sales Order #: 2275071999
RTD Screening Code: DOD
Reason for Rejection: Y9</t>
  </si>
  <si>
    <t>FOR THE PROSPECT POLICE DEPT TO ISSUE TO OFFICERS TO USE TO MAINTAIN THEIR FIREARMS.</t>
  </si>
  <si>
    <t>MULTI-TOOL,FOLDING,</t>
  </si>
  <si>
    <t>2YTJYC52481407</t>
  </si>
  <si>
    <t xml:space="preserve">
Sales Order #: 2274866232
RTD Screening Code: DOD
Reason for Rejection: Y9</t>
  </si>
  <si>
    <t>FOR USE BY THIS LEA ONLY. TO BE USED BY THE LEOS OF THIS AGENCY. INDIVIDUAL RIFLE MULTI TOOL WILL SUPPORT WEAPON MAINTENANCE AND SUSTAINMENT DURING LAW ENFORCEMENT OPERATIONS AND TRAINING.</t>
  </si>
  <si>
    <t>2YTEY452481664</t>
  </si>
  <si>
    <t xml:space="preserve">
Sales Order #: 2275038917
RTD Screening Code: DOD
Reason for Rejection: Y9</t>
  </si>
  <si>
    <t>REQUESTED BY SCDPS TO BE USED BY SCDPS LAW ENFORCEMENT OFFICERS AS A GENERATOR TO PROVIDE BACK UP POWER TO PATROL OFFICES IN THE EVENT OF POWER LOSS AND INCLEMENT WEATHER.</t>
  </si>
  <si>
    <t>2YTKTF52551771</t>
  </si>
  <si>
    <t xml:space="preserve">
Sales Order #: 2275052310
RTD Screening Code: DOD
Reason for Rejection: Y9</t>
  </si>
  <si>
    <t>THIS TOTE WOULD BE USED TO STORE LAW ENFORCEMENT EQUIPMENT WHEN NOT IN USE.</t>
  </si>
  <si>
    <t>BOX,TOTE</t>
  </si>
  <si>
    <t>2YTGAF52551783</t>
  </si>
  <si>
    <t>THE UNMANNED AIRCRAFT SYSTEM WOULD BE UTILIZED BY THE METROPARKS POLICE DEPARTMENT DRONE TEAM TO ENHANCE OUR CAPABILITIES IN SEARCH AND RESCUE OPERATIONS, EVENT OVERWATCH, AND MUTUAL AID WITH PARTNER AGENCIES. THIS ADDITION TO OUR FLEET WILL PROVIDE SECURE, HIGH-QUALITY EQUIPMENT CAPABLE OF RELIABLE FLIGHT IN ALL WEATHER CONDITIONS.</t>
  </si>
  <si>
    <t>2YTRAL52551862</t>
  </si>
  <si>
    <t xml:space="preserve">
Sales Order #: 2275146722
RTD Screening Code: DOD
Reason for Rejection: Y9</t>
  </si>
  <si>
    <t>2YTEY452551868</t>
  </si>
  <si>
    <t xml:space="preserve">
Sales Order #: 2275123966
RTD Screening Code: DOD
Reason for Rejection: Y9</t>
  </si>
  <si>
    <t>2YTEY452551867</t>
  </si>
  <si>
    <t>THIS WILL BE BROKEN UP AND USED TO MAKE FIRST AID KITS FOR PATROL UNITS AS WELL AS TRAUMA KITS FOR THE TAC MEDICS ATTACHED TO THE SWAT TEAM FOR MASS CASUALTY EVENTS</t>
  </si>
  <si>
    <t>MEDICAL EQUIPMENT S</t>
  </si>
  <si>
    <t>2YTLK552481881</t>
  </si>
  <si>
    <t>DUE TO RECURRING FLOOD RISKS ALONG THE MATANUSKA RIVER, PALMER PD REQUESTS A 750K COUGAR MRAP TO SAFELY MOVE RESCUERS AND OFFICERS IN HIGH-WATER CONDITIONS. THE VEHICLE ENSURES ACCESS TO STRANDED RESIDENTS AND MAINTAINS PUBLIC SAFETY DURING DISASTERS.</t>
  </si>
  <si>
    <t>MINE RESISTANT VEHICLE</t>
  </si>
  <si>
    <t>2YTJCA52562014</t>
  </si>
  <si>
    <t>2YT1WK52552072</t>
  </si>
  <si>
    <t xml:space="preserve">
Sales Order #: 2275145470
RTD Screening Code: RTD2
Reason for Rejection: BQ</t>
  </si>
  <si>
    <t>2YTMXW52472110</t>
  </si>
  <si>
    <t xml:space="preserve">
Sales Order #: 2275145443
RTD Screening Code: RTD2
Reason for Rejection: BQ</t>
  </si>
  <si>
    <t>2YTMXW52472109</t>
  </si>
  <si>
    <t>THESE ITEMS WILL BE USED AS A MID-LAYER FOR OUR WINTER UNIFORM. THESE JACKETS WILL BE ISSUED TO OUR SWAT TEAM, TACTICAL BOMB TECH'S, AND SWAT MEDICS. THESE WILL ALLOW US TO SAVE MONEY FOR ACQUISITION OF OTHER ESSENTIAL EQUIPMENT FOR OUR CURRENT MISSIONS. OUR SWAT TEAM CONDUCTS SEVERAL MISSIONS DURING OUR WINTER MONTHS THAT REQUIRE US TO BE IN THE ELEMENTS FOR SEVERAL HOURS TO SEVERAL DAYS. THESE WARMING LAYERS WOULD ALLOW US TO COMPLETE OUR MISSIONS IN THESE COLD WEATHER MONTHS.</t>
  </si>
  <si>
    <t>2YTKCC52482093</t>
  </si>
  <si>
    <t>2YTHYA52552078</t>
  </si>
  <si>
    <t xml:space="preserve">
Sales Order #: 2270582761
RTD Screening Code: DOD
Reason for Rejection: YH</t>
  </si>
  <si>
    <t>2YTMPA51787131</t>
  </si>
  <si>
    <t xml:space="preserve">
Sales Order #: 2270783835
RTD Screening Code: RTD2
Reason for Rejection: YH</t>
  </si>
  <si>
    <t>2YTRGK5178JG02</t>
  </si>
  <si>
    <t xml:space="preserve">
Sales Order #: 2270783836
RTD Screening Code: RTD2
Reason for Rejection: YH</t>
  </si>
  <si>
    <t>2YTRGK5178JG01</t>
  </si>
  <si>
    <t xml:space="preserve">
Sales Order #: 2269808016
RTD Screening Code: DOD
Reason for Rejection: YG</t>
  </si>
  <si>
    <t>THIS TRAILER IS REQUESTED BY HOLLY HILL PD FOR USE BY HOLLY HILL PD OFFICERS TO CARRY EQUIPMENT TO VARIOUS SCENES SUCH AS SEARCH AND RESCUE.</t>
  </si>
  <si>
    <t>2YTRSD52068803</t>
  </si>
  <si>
    <t xml:space="preserve">
Sales Order #: 2269563396
RTD Screening Code: DOD
Reason for Rejection: YH</t>
  </si>
  <si>
    <t>WE ARE BOAZ POLICE. WE ARE COMING TO PICK UP A VEHICLE THERE. THESE BOOTS WOULD HELP US TO SUPPLY OUR OFFICERS AND SUPPORT STAFF. THEY WOULD BE GREAT FOR TRAINING AND OUR SWAT SERVICES. ALSO, WHEN WE MUST GO INTO TACTICAL SITUATIONS WITH GEAR. WE HAVE ABOUT 30 OFFICERS AND 10 SUPPORT STAFF. THANK YOU FOR YOUR CONSIDERATION</t>
  </si>
  <si>
    <t>BOOTS,HOT WEATHER,J</t>
  </si>
  <si>
    <t>2YTBCH52139283</t>
  </si>
  <si>
    <t xml:space="preserve">
Sales Order #: 2272707184
RTD Screening Code: DOD
Reason for Rejection: YH</t>
  </si>
  <si>
    <t>WE ARE COMING TO PICK UP ITEMS.  WE ARE BOAZ POLICE. WE ARE IN NEED OF A LARGE AIR COMPRESSOR FOR OUT POLICE VEHICLE GARAGE. THIS WOULD ASSIST IN OUR MECHANICS ABILITY TO PULL TIRES AND MAINTAIN US. WE HAVE BEEN GIVEN A LARGE GARAGE TO SERVICE OUR OWN VEHICLES. HOWEVER, WE ARE STARTING FROM SCRATCH  COULD YOU PLEASE EMAIL A PICTURE ALSO THOMAS.MCCALLIE AT CITYOFBOAZ.ORG THANK YOU FOR YOUR TIME AND EFFORT.</t>
  </si>
  <si>
    <t>2YTBCH52139282</t>
  </si>
  <si>
    <t xml:space="preserve">
Sales Order #: 2272707196
RTD Screening Code: DOD
Reason for Rejection: YH</t>
  </si>
  <si>
    <t>WE ARE BOAZ POLICE. WE ARE COMING TO PICK UP ITEMS. THIS ITEM WOULD BE BENEFICIAL IN POLICING LOCAL EVENTS. ALLOWING US TO MOVE QUICKLY TO EMERGENCIES WHERE LARGE CROWDS GATHER FOR VARIOUS EVENTS PUT ON BY THE CITY. I CAN ALSO SEE WHERE IT WOULD BE VALUABLE ON OTHER DETAILS, LITTER, AND MOVEMENT OF SUPPLIES AROUND OUR DEPARTMENT. WE COULD ALSO POST THIS IN DRUG INTERDICTION AT LARGE EVENTS WITH BLUE LIGHTS OR NOT. INCREASING OUR FOOTPRINT AND VISABILITY. THANK YOU FOR YOUR CONSIDERATION.</t>
  </si>
  <si>
    <t>2YTBCH52139303</t>
  </si>
  <si>
    <t xml:space="preserve">
Sales Order #: 2269477681
RTD Screening Code: DOD
Reason for Rejection: Y9</t>
  </si>
  <si>
    <t>THIS ITEM WILL BE USED FOR LAW ENFORCEMENT AND BY LAW ENFORCEMENT.  TENT WILL BE USED FOR POLICE EVENTS LIKE NATIONAL NIGHT OUT OR OTHER EVENTS</t>
  </si>
  <si>
    <t>2YTJXJ52481325</t>
  </si>
  <si>
    <t xml:space="preserve">
Sales Order #: 2274616720
RTD Screening Code: DOD
Reason for Rejection: Y9</t>
  </si>
  <si>
    <t>THE PIEDMONT POLICE DEPARTMENT WOULD USE THIS PROPERTY TO PUT WHEELS ON A TOOLBOX THAT WAS OBTAINED FROM THE LESO PROGRAM AND REPLACE THE WHEELS ON ANOTHER TOOLBOX THAT WAS ALSO OBTAINED FROM THE LESO PROGRAM.</t>
  </si>
  <si>
    <t>CASTER,SWIVEL</t>
  </si>
  <si>
    <t>2YTJMH52481369</t>
  </si>
  <si>
    <t xml:space="preserve">
Sales Order #: 2275170157
RTD Screening Code: DOD
Reason for Rejection: Y9</t>
  </si>
  <si>
    <t>THIS ITEM WILL BE UTILIZED BY THE AGENCY FOR PERSONNEL WHILE OPERATING IN THE FIELD IN ADVERSE WEATHER CONDITIONS.</t>
  </si>
  <si>
    <t>2YT0E752481743</t>
  </si>
  <si>
    <t>OUR OFFICE REQUIRES NIGHT VISION GOGGLES TO ENHANCE DEPUTY SAFETY, IMPROVE SEARCH AND RESCUE IN LOW LIGHT CONDITIONS, AND ENSURE EFFECTIVE RESPONSE TO CRIMINAL ACTIVITY AT NIGHT.</t>
  </si>
  <si>
    <t>2YTHWR52551861</t>
  </si>
  <si>
    <t>WE WOULD LIKE TO HAVE THE MAT TO TRAIN OUR OFFICERS IN DEFENSIVE TACTICS INCLUDING HAND TO HAND COMBAT. WE HAVE TWO INSTRUCTORS ON STAFF AND HAVING THE ADDITIONAL MAT WILL HELP US BE BETTER PREPARED FOR DANGEROUS CALLS. THE MATS WILL BE USED BY OUR OFFICERS ONLY</t>
  </si>
  <si>
    <t>2YTHQ052482187</t>
  </si>
  <si>
    <t xml:space="preserve">
Sales Order #: 2264176397
RTD Screening Code: DOD
Reason for Rejection: YG</t>
  </si>
  <si>
    <t>USED BY LEA TO STORE AND TRANSPORT EQUIPMENT</t>
  </si>
  <si>
    <t>2YTMPA52066647</t>
  </si>
  <si>
    <t xml:space="preserve">
Sales Order #: 2274616775
RTD Screening Code: DOD
Reason for Rejection: Y9</t>
  </si>
  <si>
    <t>TPD REQUEST THIS TRUCK TO USE AS A MOBILE COMMAND POST IN RESPONSE TO AND PROTECTION FROM ACTS OF TERROR AND MASS CASUALTY. IT WILL ALSO BE USED ON EXTENDED HIGH PRIORITY CRIME SCENES.</t>
  </si>
  <si>
    <t>2YTL1552481305</t>
  </si>
  <si>
    <t xml:space="preserve">
Sales Order #: 2274619848
RTD Screening Code: DOD
Reason for Rejection: Y9</t>
  </si>
  <si>
    <t>THIS VEHICLE WILL AID THE POLICE DEPARTMENT WITH FINISHING A FRING RANGE AND CARRYING GEAR, AID IN WATER AND MOUNTAIN RESCUES, AND DISASTER RELIEF. TELLICO PLAINS POLICE DEPARTMENT ASSUMES ALL COST AND EXPENSES.</t>
  </si>
  <si>
    <t>2YTLRG52481304</t>
  </si>
  <si>
    <t xml:space="preserve">
Sales Order #: 2274619950
RTD Screening Code: DOD
Reason for Rejection: Y9</t>
  </si>
  <si>
    <t>THIS ASSET WOULD BENEFIT THIS AGENCY AND OUR OFFICERS BY ALLOWING THEM TO UTILIZE THIS FOR INCIDENTS OF DROWNING, EVIDENCE COLLECTION FROM RIVERS AND THE LAKE, BOAT PATROL, AND INCIDENT RESPONSE ON THE WATER, AS WELL AS SEARCH AND RESCUE DURING FLOODING. THIS ASSET WOULD BE REPAIRED ASAP</t>
  </si>
  <si>
    <t>2YTS0852481328</t>
  </si>
  <si>
    <t xml:space="preserve">
Sales Order #: 2274619849
RTD Screening Code: DOD
Reason for Rejection: Y9</t>
  </si>
  <si>
    <t>THIS ASSET WOULD BENEFIT THIS AGENCY BY ALLOWING USE TO UTILIZE THIS AS A RESPONSE TRUCK TO RESPOND TO INCIDENTS SUCH AS NATURAL DISASTERS, ACTIVE SHOOTER, EVENTS THAT LAST LONGER THAN THE TYPICAL CALL. THIS WOUD ALLOW OFFICERS TO USE THIS AS A REST VEHICLE AS WELL AS A MOBILE REPORT TAKING AND EVIDENCE RECOVERY VEHICLE. THIS WOULD ALSO BE USED IN THE EVENT OF A LARGE INCIDENT ON ROADWAYS TO LBLOCK ONCOMING TRAFFIC. THIS ASSET WOULD ENHANCE EFFICIENCY AND PRODUCTIVITY. WE WOULD REPAIR THIS ASSET</t>
  </si>
  <si>
    <t>2YTS0852481326</t>
  </si>
  <si>
    <t xml:space="preserve">
Sales Order #: 2274579269
RTD Screening Code: DOD
Reason for Rejection: Y9</t>
  </si>
  <si>
    <t>FOR USE BY ON DUTY OSD OFFICERS ASSIGNED TO MARINE PATROLS TO PROVIDE ENFORCEMENT AND RESPOND TO CALLS FOR SERVICE ON ONE OF THE SEVERAL HUNDRED INLAND LAKES WITHIN THE JURISDICTION.</t>
  </si>
  <si>
    <t>2YT1WK52481288</t>
  </si>
  <si>
    <t xml:space="preserve">
Sales Order #: 2274594913
RTD Screening Code: DOD
Reason for Rejection: Y9</t>
  </si>
  <si>
    <t>THE HOWELL COUNTY SHERIFF'S OFFICE IS A LAW ENFORCEMENT AGENCY. HCSO WILL THIS THIS TRAILER IN TO TRANSPORT UTILITY VEHICLES?? RESPONSE TO EMERGENCIES SUCH AS NATURAL DISASTERS, MISSING PERSONS, MANHUNTS. CRIME SCENES AND OTHER EMERGENCY SITUATIONS AS THEY ARISE. HCSO PATROLS 926 SQ MILES OF VERY RURAL??ROUGH TERRAIN. IN ADDITION, HCSO ALSO RESPONDS TO AND PATROLS OVER 50,000 ACRES OF STATE AND NATIONAL FORREST LAND WITHIN HOWELL COUNTY.??</t>
  </si>
  <si>
    <t>2YTFKX52481316</t>
  </si>
  <si>
    <t xml:space="preserve">
Sales Order #: 2274619959
RTD Screening Code: DOD
Reason for Rejection: Y9</t>
  </si>
  <si>
    <t>OUR SWAT TEAM WILL USE THESE NIGHT VISION GOGGLES.. OUR CURRENT GOGGLES ARE AGING AND OVERDUE FOR REPLACEMENT.   OUR MISSION SET INCLUDES COUNTER-TERRORISM OPERATIONS, COUNTER-DRUG OPERATIONS, AND OTHER TACTICAL LAW ENFORCEMENT OPERATIONS.  WE ARE AWARE THEY ARE CONDITION H.  WE HAVE CONTACTED THE SITE TO CHECK CONDITION AND WILL TAKE THEM AS THEY ARE.</t>
  </si>
  <si>
    <t>2YTP2752481342</t>
  </si>
  <si>
    <t xml:space="preserve">
Sales Order #: 2274619956
RTD Screening Code: DOD
Reason for Rejection: Y9</t>
  </si>
  <si>
    <t>THE BRISTOL TENNESSEE POLICE DEPARTMENT WOULD USE THIS TRUCK TO INSTALL AND MAINTAIN SURVEILLANCE CAMERAS IN DIFFERENT PARTS OF OUR CITY TO VIEW OR AIDE IN SOLVING CRIME.</t>
  </si>
  <si>
    <t>2YTBJQ52481334</t>
  </si>
  <si>
    <t xml:space="preserve">
Sales Order #: 2274659011
RTD Screening Code: DOD
Reason for Rejection: Y9</t>
  </si>
  <si>
    <t>THE BRISTOL TENNESSEE POLICE DEPARTMENT PLANS TO UPFIT THIS VEHICLE AND ASSIGN IT TO ONE OF OUR SCHOOL RESOURCE OFFICERS TO DETER CRIMINAL ACTIVITY OR ACTIVE SHOOTER SITUATIONS AT THAT SCHOOL RESOURCE OFFICERS ASSIGNED SCHOOL.</t>
  </si>
  <si>
    <t>2YTBJQ52481331</t>
  </si>
  <si>
    <t xml:space="preserve">
Sales Order #: 2269297273
RTD Screening Code: DOD
Reason for Rejection: Y9</t>
  </si>
  <si>
    <t>THE AUGUSTA POLICE DEPARTMENT IS IN NEED OF A VEHICLE TO PATROL AREA RECREATIONAL TRAILS NOT ACCESSIBLE BY NORMAL PATROL VEHICLES.</t>
  </si>
  <si>
    <t>2YTRJ552481370</t>
  </si>
  <si>
    <t xml:space="preserve">
Sales Order #: 2269911130
RTD Screening Code: DOD
Reason for Rejection: Y9</t>
  </si>
  <si>
    <t>THE FORK LIFT WILL BE USED BY THE ARP POLICE DEPARTMENT FOR LAW ENFORCEMENT PURPOSES ONLY. OFFICERS WILL USE THE FORK LIFT TO MOVE LESO AWARDED AND PD OWNED PROPERTY.</t>
  </si>
  <si>
    <t>2YTANX52481335</t>
  </si>
  <si>
    <t xml:space="preserve">
Sales Order #: 2269498102
RTD Screening Code: DOD
Reason for Rejection: Y9</t>
  </si>
  <si>
    <t>LEVEL PLAINS POLICE DEPT WOULD UTILZE ATV IN RURAL SEARCH AND RESCUE AND DURING HURRICANES AND TORNADOES</t>
  </si>
  <si>
    <t>2YTRNR52481401</t>
  </si>
  <si>
    <t xml:space="preserve">
Sales Order #: 2274616736
RTD Screening Code: DOD
Reason for Rejection: Y9</t>
  </si>
  <si>
    <t>THIS AGENCY MAINTAINS ITS COMMUNICATIONS INFRASTRUCTURE SUCH AS AERIAL MOUNTED ANTENNAE AND FEEDLINES IN ADDITION TO THE CITY'S EARLY WARNING DEVICES.  THIS VEHICLE WILL BE UTILIZED TO CONDUCT THE AFOREMENTIONED TASK WHILE LESSONING THE RISK TO LE PERSONNEL FROM MANUALLY CLIMBING TO ACHIEVE AERIAL RELATED TASKS.  THE AGENCY HAS PERSONNEL QUALIFIED TO OPERATE CDL REQUIRED VEHICLES</t>
  </si>
  <si>
    <t>2YT0E752481382</t>
  </si>
  <si>
    <t xml:space="preserve">
Sales Order #: 2274616741
RTD Screening Code: DOD
Reason for Rejection: Y9</t>
  </si>
  <si>
    <t>THIS AGENCY'S AREA OF RESPONSIBILITY INCLUDES HEAVILY WOODED AREAS WITH RUGGED TERRAIN.  THIS VEHICLE WILL BE USED TO PROVIDE LAW ENFORCEMENT SERVICES IN AREAS UNREACHABLE BY STANDARD VEHICLE FOR ACTIVITIES AS MARIHUANA ERADICATION AND SEARCH AND RESCUE CONDUCTED BY SWORN LAW ENFORCEMENT</t>
  </si>
  <si>
    <t>2YT0E752481381</t>
  </si>
  <si>
    <t xml:space="preserve">
Sales Order #: 2274567708
RTD Screening Code: DOD
Reason for Rejection: Y9</t>
  </si>
  <si>
    <t>REQUESTING A THIS CARGO TRAILER TO TRANSPORT ESSENTIAL EMERGENCY RESPONSE EQUIPMENT, INCLUDING A UTV FOR SEARCH AND RESCUE MISSIONS. POLICE OFFICERS FROM THE DELAVAN POLICE DEPARTMENT WILL DEPLOY THE TRAILER TO SUPPORT MULTI-AGENCY OPERATIONS DURING DISASTERS, MISSING PERSONS SEARCHES, AND MAJOR INCIDENTS, ENHANCING RAPID RESPONSE CAPABILITIES.</t>
  </si>
  <si>
    <t>2YTC8P52481406</t>
  </si>
  <si>
    <t xml:space="preserve">
Sales Order #: 2274619967
RTD Screening Code: DOD
Reason for Rejection: Y9</t>
  </si>
  <si>
    <t>THESE ITEMS WILL BE USED BY DEPUTIES TO FURTHER ENHANCE THEIR ABILITY TO SAFELY AND EFFECTIVELY SERVE THEIR COMMUNITY AT NIGHT. 
WE HAVE LOOKED AT THE PICTURES PROVIDED AND ARE SATISFIED WITH THE ITEMS.</t>
  </si>
  <si>
    <t>2YTNED52481444</t>
  </si>
  <si>
    <t xml:space="preserve">
Sales Order #: 2274659014
RTD Screening Code: DOD
Reason for Rejection: Y9</t>
  </si>
  <si>
    <t>I AM REQUESTING THIS VEHICLE FOR THE WEAKLEY COUNTY SHERIFF'S OFFICE USE.  PATROL DEPUTIES AND INVESTIGATORS WOULD USE THIS VEHICLE TO ACCESS REMOTE LOCATIONS TO INVESTIGATE AND SOLVE CRIMES.  WE HAVE SEEN AN UPTAKE IN THEFTS AND OTHER CRIMES AT FARMS AND OTHER REMOTE LOCATIONS, THAT PROHIBIT THE USE OF CONVENTIONAL ROAD VEHICLES.  I HAVE SEEN THE INCLUDED PICTURES, AND AM SATISFIED WITH IT'S CONDITION.</t>
  </si>
  <si>
    <t>2YTNED52481439</t>
  </si>
  <si>
    <t xml:space="preserve">
Sales Order #: 2274597810
RTD Screening Code: DOD
Reason for Rejection: Y9</t>
  </si>
  <si>
    <t>THE TEHAMA COUNTY SHERIFF'S OFFICE WILL USE WRENCH SET, SOCKET FOR DEPUTY USE TO MAKE MINOR REPAIRS TO EMERGENCY RESPONSE VEHICLES, TO KEEP THEM AVAILABLE FOR PATROL AND EMERGENCY RESPONSE.</t>
  </si>
  <si>
    <t>2YTLQ752481466</t>
  </si>
  <si>
    <t xml:space="preserve">
Sales Order #: 2274579273
RTD Screening Code: DOD
Reason for Rejection: Y9</t>
  </si>
  <si>
    <t>THE OSAGE COUNTY SHERIFF'S OFFICE WILL USE THIS TRAILER TO TRANSPORT OUR PORTABLE RANGE FOR DEPUTIES TO TRAINING IN DIFFERENT LOCATIONS IN THE REGION. THIS WILL HELP PRESERVE THE EQUIPMENT AND SECURE IT FROM THEFT.</t>
  </si>
  <si>
    <t>2YT16P52481486</t>
  </si>
  <si>
    <t xml:space="preserve">
Sales Order #: 2274579267
RTD Screening Code: DOD
Reason for Rejection: Y9</t>
  </si>
  <si>
    <t>OREGON COUNTY SHERIFF'S OFFICE WILL USE THE UTV FOR EQUIPMENT, MATERIAL, AND PERSONNEL RESPONSE DURING MAN MADE AND NATURAL DISASTERS.</t>
  </si>
  <si>
    <t>2YT15P52481477</t>
  </si>
  <si>
    <t xml:space="preserve">
Sales Order #: 2274550268
RTD Screening Code: DOD
Reason for Rejection: Y9</t>
  </si>
  <si>
    <t>OREGON COUNTY SHERIFF'S OFFICE WILL USE THE TRAILER FOR EQUIPMENT, MATERIAL, AND PERSONNEL RESPONSE DURING MAN MADE AND NATURAL DISASTERS. IT WILL ALSO BE UTILIZED AS A MOBILE COMMAND POST.</t>
  </si>
  <si>
    <t>2YT15P52481476</t>
  </si>
  <si>
    <t xml:space="preserve">
Sales Order #: 2274595670
RTD Screening Code: DOD
Reason for Rejection: Y9</t>
  </si>
  <si>
    <t>THIS BOAT WILL BE USED TO ASSIST US IN PATROLLING THE ALTAMAHA RIVER AND THE INTERCOASTAL WATERWAY, INTERDICTING NARCOTICS THAT ARE BEING TRANSPORTED ON OUR WATERWAYS AND ASSISTING IN SEARCH AND RESCUE OPERATIONS.</t>
  </si>
  <si>
    <t>2YTHG852481448</t>
  </si>
  <si>
    <t>MCINTOSH COUNTY SHERIFF DEPT (2YTHG8)</t>
  </si>
  <si>
    <t xml:space="preserve">
Sales Order #: 2274616709
RTD Screening Code: DOD
Reason for Rejection: Y9</t>
  </si>
  <si>
    <t>THE TOWN OF KENT POLICE DEPARTMENT WILL USE ITEMS FOR ENHANCING VISIBILITY AND SITUATIONAL AWARENESS DURING LOW-LIGHT OR NIGHTTIME OPERATIONS. THEY ENABLE THE SPECIAL REACTIONS TEAM TO CONDUCT SEARCHES, SURVEILLANCE, AND TACTICAL RESPONSES SAFELY AND EFFECTIVELY IN DARKNESS, REDUCING RISK TO OFFICERS AND IMPROVING MISSION SUCCESS. CONTACT HAS BEEN MADE TO VERIFY THE CONDITION OF THE PROPERTY.</t>
  </si>
  <si>
    <t>2YTF5U52481494</t>
  </si>
  <si>
    <t xml:space="preserve">
Sales Order #: 2269716153
RTD Screening Code: DOD
Reason for Rejection: Y9</t>
  </si>
  <si>
    <t>THE ITASCA POLICE DEPARTMENT IS IN NEED OF MOWER TO HELP WITH MAINTAINING THE GROUNDS AROUND THE RANGE AND TRAINING AREA, THIS MOWER WILL BE USED TO MOW THE GRASS.</t>
  </si>
  <si>
    <t>2YTFTY52481443</t>
  </si>
  <si>
    <t xml:space="preserve">
Sales Order #: 2275170161
RTD Screening Code: DOD
Reason for Rejection: Y9</t>
  </si>
  <si>
    <t>TO BE USED BY THE POLICE DEPARTMENT IN SUPPORT OF PATROL DUTIES ON THE LAKE.  THIS VESSEL WILL BE USED BY THE POLICE DEPARTMENT TO PATROL OUT LAKE AND PROTECT OUR COMMUNITY.  DUE TO SEVERE FUNDING LIMITATIONS THE DEPARTMENT CAN NOT PURCHASE ITEMS AS THIS BUT MUST ACQUIRE THEM FROM PROGRAMS LIKE 1033.</t>
  </si>
  <si>
    <t>2YT0D652481482</t>
  </si>
  <si>
    <t>HIGHLAND LAKE POLICE DEPT (2YT0D6)</t>
  </si>
  <si>
    <t xml:space="preserve">
Sales Order #: 2274619954
RTD Screening Code: DOD
Reason for Rejection: Y9</t>
  </si>
  <si>
    <t>THIS ITEM WILL ONLY BE USED BY THE GLESON POLICE DEPARTMENT. THIS ITEM WILL BE USED TO TRANSPORT ITEMS THAT THE POLICE DEPARTMENT USES. THIS ITEM WILL BE USED TO TRANSPORT A POLICE OFF-ROAD VEHICLE IN TIMES OF NATURAL DISASTERS. THIS ITEM WILL BE USED TO TRANSPORT EQUIPMENT NEEDED DURING TRAINING EVENTS AT THE TRAINING FACILITY.</t>
  </si>
  <si>
    <t>2YTEMC52481418</t>
  </si>
  <si>
    <t xml:space="preserve">
Sales Order #: 2274779986
RTD Screening Code: DOD
Reason for Rejection: Y9</t>
  </si>
  <si>
    <t>I HAVE CONTACTED THE SITE AND CONFIRM AND ACCEPT THE CONDITION CODE OF THE ITEMS. FEDERAL SCREENER FOR DIVISION WITH 200 LAW ENFORCEMENT AGENTS TO INCLUDE 19 SWAT OPERATORS. MOST OPERATORS ARE USING SINGLE TUBE NVGS THAT ARE OUT OF WARRANTY. DUE TO A MAJORITY OF HIGH RISK OPERATIONS IN LOW LIGHT CONDITIONS IT IS CRITICAL TO HAVE BETTER EQUIPMENT FOR OFFICER SAFETY. THERE HAS BEEN NO FUNDING FOR NIGHT VISION OPTICS NOR HAS THERE BEEN FOR OVER 10 YEARS.</t>
  </si>
  <si>
    <t>2YTQY152481470</t>
  </si>
  <si>
    <t xml:space="preserve">
Sales Order #: 2274780005
RTD Screening Code: DOD
Reason for Rejection: Y9</t>
  </si>
  <si>
    <t>2YTQY152481469</t>
  </si>
  <si>
    <t xml:space="preserve">
Sales Order #: 2274619851
RTD Screening Code: DOD
Reason for Rejection: Y9</t>
  </si>
  <si>
    <t>TO BE USED BY DANVILLE POLICE AND TACTICAL OFFICERS TO OPERATE IN LOW LIGHT OR NO LIGHT ENVIRONMENTS. USED TO MOVE IN THE LOW LIGHT ENVIRONMENT WITHOUT THE USE OF WHITE LIGHT. USED DURING SAR OPERATIONS.</t>
  </si>
  <si>
    <t>2YTC4G52481500</t>
  </si>
  <si>
    <t xml:space="preserve">
Sales Order #: 2274595679
RTD Screening Code: DOD
Reason for Rejection: Y9</t>
  </si>
  <si>
    <t>THE TOWN OF CARMEL POLICE DEPARTMENT WILL USE THESE NIGHT VISION GOGGLES FOR ENHANCING VISIBILITY AND SITUATIONAL AWARENESS DURING LOW-LIGHT OR NIGHTTIME OPERATIONS. THEY ENABLE THE SPECIAL REACTIONS TEAM TO CONDUCT SEARCHES, SURVEILLANCE, AND TACTICAL RESPONSES SAFELY AND EFFECTIVELY IN DARKNESS, REDUCING RISK TO OFFICERS AND IMPROVING MISSION SUCCESS. CONTACT HAS BEEN MADE TO VERIFY THE CONDITION OF THE PROPERTY.</t>
  </si>
  <si>
    <t>2YTBZS52481490</t>
  </si>
  <si>
    <t xml:space="preserve">
Sales Order #: 2269297275
RTD Screening Code: DOD
Reason for Rejection: Y9</t>
  </si>
  <si>
    <t>THE AUGUSTA POLICE DEPARTMENT WOULD USE THIS TRAILER TO TRANSPORT AND STORE LARGER EVIDENTIARY ITEMS AS OUR CURRENT EVIDENCE ROOM IS AT CAPACITY.</t>
  </si>
  <si>
    <t>2YTRJ552481432</t>
  </si>
  <si>
    <t xml:space="preserve">
Sales Order #: 2269498091
RTD Screening Code: DOD
Reason for Rejection: Y9</t>
  </si>
  <si>
    <t>WOULD BE USED TO ASSIST THE POLICE DEPARTMENT IN ACCESSING AREAS OF THE 2.5-MILE RIVER AND A 161-ACRE LAKE WHICH WE CURRENTLY DON'T HAVE THE MEANS OF ACCESSING</t>
  </si>
  <si>
    <t>2YTN5W52481461</t>
  </si>
  <si>
    <t xml:space="preserve">
Sales Order #: 2274779988
RTD Screening Code: DOD
Reason for Rejection: Y9</t>
  </si>
  <si>
    <t>FOR INVESTIGATIONS TO INVESTIGATE AND DOCUMENT CRIME SCENES.</t>
  </si>
  <si>
    <t>2YTGHQ52481553</t>
  </si>
  <si>
    <t xml:space="preserve">
Sales Order #: 2274780002
RTD Screening Code: DOD
Reason for Rejection: Y9</t>
  </si>
  <si>
    <t>FOR A SMALL POLICE DEPARTMENT TO EQUIP MORE OFFICERS WITH LESS LETHAL.</t>
  </si>
  <si>
    <t>2YTGHQ52481546</t>
  </si>
  <si>
    <t xml:space="preserve">
Sales Order #: 2274775277
RTD Screening Code: DOD
Reason for Rejection: Y9</t>
  </si>
  <si>
    <t>THIS VAN WOULD BE USED BY OFFICERS OF THE TONTO APACHE POLICE DEPARTMENT TO TRANSPORT PROPERTY AND EVIDENCE.  IT WOULD ALSO BE UTILIZED BY OFFICERS TO PICK UP PROPERTY AWARDED TO THE POLICE DEPARTMENT THROUGH THE LESO PROGRAM</t>
  </si>
  <si>
    <t>2YTRQ752481637</t>
  </si>
  <si>
    <t>THIS TRAILER WOULD ALLOW US TO MOVE AND STORE CROWD CONTROL EQUIPMENT. WE WILL ALSO BE ABLE TO TRANSPORT HOLIDAY GIFT FOR OUR SHOP WITH A COP. THIS TRAILER WILL BE UTILIZED TO TRANSPORT EMERGENCY MANAGEMENT EQUIPMENT AS WELL.</t>
  </si>
  <si>
    <t>2YTD1D52481617</t>
  </si>
  <si>
    <t>2YTD1D52481616</t>
  </si>
  <si>
    <t>WILL BE USED FOR BIKE PATROL</t>
  </si>
  <si>
    <t>2YTLK552481711</t>
  </si>
  <si>
    <t xml:space="preserve">
Sales Order #: 2275170160
RTD Screening Code: DOD
Reason for Rejection: Y9</t>
  </si>
  <si>
    <t>THE ITEMS BEING REQUESTED BY THE SLOCOMB POLICE DEPARTMENT WILL BE USED BY OFFICERS FOR LAW ENFORCEMENT PURPOSES. THE REQUESTED TAZERS WILL BE UTILIZED BY OFFERS WHEN INTERACTING WITH NON-COMPLIANT SUSPECTS WHEN NON-LEATHEL WEAPONS ARE NEEDED FOR APPREHENSION AND DETAINMENT.</t>
  </si>
  <si>
    <t>2YTK4252481713</t>
  </si>
  <si>
    <t xml:space="preserve">
Sales Order #: 2274779998
RTD Screening Code: DOD
Reason for Rejection: Y9</t>
  </si>
  <si>
    <t>THE BELLA VISTA POLICE DEPARTMENT WOULD UTILIZE THIS SEARCH AND RESCUE EQUIPMENT FOR SEARCH AND RESCUE INCIDENTS AND SEVERE WEATHER EVENTS. THIS EQUIPMENT WILL BE USED FOR LAW ENFORCEMENT PURPOSES ONLY.</t>
  </si>
  <si>
    <t>2YTA2S52481685</t>
  </si>
  <si>
    <t xml:space="preserve">
Sales Order #: 2274900964
RTD Screening Code: DOD
Reason for Rejection: Y9</t>
  </si>
  <si>
    <t>NEWLAND POLICE DEPARTMENT NEEDS THIS EQUIPMENT FOR DISASTER-RELATED EMERGENCY RESPONSE AND PREPAREDNESS TO MAINTAIN OPERATIONS DURING LONG TERM POWER OUTAGES.</t>
  </si>
  <si>
    <t>2YT1JE52481735</t>
  </si>
  <si>
    <t>NEWLAND PD (2YT1JE)</t>
  </si>
  <si>
    <t xml:space="preserve">FEDERAL SCREENER FOR DIVISION WITH 200 LAW ENFORCEMENT AGENTS TO INCLUDE 19 SWAT OPERATORS.  THESE WILL BE USED FOR DEFENSIVE TACTICS AND TRAINING.  
</t>
  </si>
  <si>
    <t>2YTQY152481935</t>
  </si>
  <si>
    <t xml:space="preserve">
Sales Order #: 2275173783
RTD Screening Code: DOD
Reason for Rejection: Y9</t>
  </si>
  <si>
    <t>THE NORTHLAKE POLICE DEPARTMENT HAS MULTIPLE OPERATORS ON THE WEST SUBURBAN SPECIAL RESPONSE TEAM.  WE DESPERATELY NEED THESE AS WE ARE ATTEMPTING TO ACQUIRE NIGHT VISION FOR THE TEAM.
WE ACCEPT THE ITEMS IN THE CONDITION LISTED BY THE DLA LOCATION.</t>
  </si>
  <si>
    <t>2YTPK352482045</t>
  </si>
  <si>
    <t>MY AGENCY SWAT TEAM DOES NOT HAVE NV CAPABILITIES AND IS IN NEED. THE TEAM HAS 20 OPERATORS AND 5 MEDICS. THE TEAM IS NOT MULTIJURISDICTIONAL AND COST HAS PROHIBITED US. THE TEAM COVERS A CITY OF 55K RESIDENTS, CITY OF ELYRIA OHIO.</t>
  </si>
  <si>
    <t>2YTDSG52482034</t>
  </si>
  <si>
    <t>2YTDSG52482033</t>
  </si>
  <si>
    <t>2YTDSG52482031</t>
  </si>
  <si>
    <t>2YTDSG52482029</t>
  </si>
  <si>
    <t>2YTDSG52482027</t>
  </si>
  <si>
    <t>2YTDSG52482026</t>
  </si>
  <si>
    <t>2YTDSG52482025</t>
  </si>
  <si>
    <t xml:space="preserve">
Sales Order #: 2275259295
RTD Screening Code: DOD
Reason for Rejection: Y9</t>
  </si>
  <si>
    <t>OUR DEPARTMENT HAS SEVERAL ARMORS THAT MAINTAIN AND REPAIR OUR WEAPONS AND WOULD LIKE TO HAVE THE SMALL ARMS TOOL KIT. THE KIT WILL HELP OUR WEAPONS TO REMAIN FUNCTIONAL AND BE BETTER PREPARED FOR EMERGENCY SITUATIONS THE KIT WILL BE USED MY OUR POLICE OFFICERS ONLY</t>
  </si>
  <si>
    <t>2YTHQ052482184</t>
  </si>
  <si>
    <t xml:space="preserve">
Sales Order #: 2275259294
RTD Screening Code: DOD
Reason for Rejection: Y9</t>
  </si>
  <si>
    <t>WE WOULD LIKE TO HAVE THE KITS TO ISSUE TO OFFICERS IN PATROL AND ARE OFTEN THE FIRST PERSON ON EMERGENCY CALLS THAT REQUIRE MEDICAL RESPONSE. THE KITS WILL BE USED IN ACTIVE SHOOTER SITUATIONS AND ONLY USED BY THE POLICE DEPARTMENT</t>
  </si>
  <si>
    <t>2YTHQ052482183</t>
  </si>
  <si>
    <t>FOR USE BY LEA IN PROCESSING CRIME SCENES</t>
  </si>
  <si>
    <t>2YTMPA52472133</t>
  </si>
  <si>
    <t>2YTMPA52472132</t>
  </si>
  <si>
    <t>2YTMPA52472130</t>
  </si>
  <si>
    <t>NEEDED BY LEA FOR CRIME SCENE PROCESSING</t>
  </si>
  <si>
    <t>2YTMPA52472128</t>
  </si>
  <si>
    <t>BUTLER COUNTY SHERIFF'S OFFICE WILL UTILIZE THIS EQUIPMENT IN PATROL WHEN DEALING WITH SUSPECTS THAT DO NOT SPEAK ENGLISH.</t>
  </si>
  <si>
    <t>2YTBQJ52472166</t>
  </si>
  <si>
    <t>THIS WILL BE USED BY RANGE OFFICERS TO KEEP THEIR FEET DRY DURING WET WEATHER</t>
  </si>
  <si>
    <t>2YTLK552482208</t>
  </si>
  <si>
    <t>THIS WILL BE ISSUED TO THE MOBILE FIELD FORCE TO CARRY LESS LETHAL MUNITIONS</t>
  </si>
  <si>
    <t>2YTLK552482207</t>
  </si>
  <si>
    <t>WOULD ISSUE OUT TO OFFICERS AND SWAT OPERATORS. WE HAVE APPROXIMATELY 70 OFFICERS ISSUED M4S IN MY AGENCY.</t>
  </si>
  <si>
    <t>2YTDSG52481506</t>
  </si>
  <si>
    <t>OUTFIT PATROL RIFLES FOR A SMALL DEPARTMENT.</t>
  </si>
  <si>
    <t>2YTGHQ52481548</t>
  </si>
  <si>
    <t>SO OFFICERS WILL BE ABLE TO CARRY MORE AMMUNITION WITH THEM DURING ACTIVE SHOOTER AND SCHOOL SHOOTINGS IN CASE THEY HAVE MULTIPLE ASSAILANTS.</t>
  </si>
  <si>
    <t>2YTHJZ52481830</t>
  </si>
  <si>
    <t xml:space="preserve">FEDERAL SCREENER FOR DIVISION WITH 200 LAW ENFORCEMENT AGENTS TO INCLUDE 19 SWAT OPERATORS.  THESE REPLICAS WILL BE USED FOR TRAINING IN DEFENSIVE TACTICS.
</t>
  </si>
  <si>
    <t>2YTQY152481943</t>
  </si>
  <si>
    <t>2YTDSG52482036</t>
  </si>
  <si>
    <t>2YTDSG52482035</t>
  </si>
  <si>
    <t>2YTDSG52482032</t>
  </si>
  <si>
    <t>2YTDSG52482030</t>
  </si>
  <si>
    <t xml:space="preserve">
Sales Order #: 2275145438
RTD Screening Code: DOD
Reason for Rejection: Y9</t>
  </si>
  <si>
    <t>THE SPRINGFIELD TOWNSHIP POLICE DEPARTMENT OPERATES AND MAINTAINS ITS OWN FITNESS CENTER FOR OUR OFFICERS.  THESE WEIGHT PLATES WOULD ADD SAFETY AND QUALITY TO OUR CENTER.  THEY WOULD BE STORED ON RACKS IN THE FITNESS CENTER WHERE THEY WILL BE MAINTAINED BY THE OFFICERS AS REQUIRED.</t>
  </si>
  <si>
    <t>BUMPER PLATE,WEIGHT</t>
  </si>
  <si>
    <t>2YTLEC52552108</t>
  </si>
  <si>
    <t xml:space="preserve">
Sales Order #: 2275259242
RTD Screening Code: DOD
Reason for Rejection: Y9</t>
  </si>
  <si>
    <t>THIS LEA RESPECTFULLY REQUESTS THE ABOVE ITEMS WHICH WILL BE UTILIZED IN THE DEPARTMENTS IN HOUSE GYM. THIS WILL ADD TO THE HEALTH AND FITNESS OF OUR LAW ENFORCEMENT MEMBERS.</t>
  </si>
  <si>
    <t>2YTG7Y52552098</t>
  </si>
  <si>
    <t xml:space="preserve">
Sales Order #: 2269563363
RTD Screening Code: DON
Reason for Rejection: YG</t>
  </si>
  <si>
    <t>THIS WOULD ASSIST THE KINSEY POLICE DEPARTMENT IN CARRYING DIRT AND HAULING DIRT OFF AT THE FIRING RANGE WE ARE BUILDING AND BUILDING ROADS TO IT</t>
  </si>
  <si>
    <t>2YTRAR51786584</t>
  </si>
  <si>
    <t xml:space="preserve">
Sales Order #: 2272251527
RTD Screening Code: DOD
Reason for Rejection: YH</t>
  </si>
  <si>
    <t>WE WOULD LIKE TO HAVE THE GENERATOR TO PLACE AT A NEW TRAINING FACILITY THAT WE HAVE ACQUIRED IN THE LAST MONTH. OUR TRAINING FOR REAL WORLD SITUATIONS AND EMERGENCY DISASTERS IS A TOP PRIORITY FOR OUR AGENCY AND HAVING THE GENERATOR WILL ALLOW US TO BE PREPARED FOR MOST ANY SITUATION. THE GENERATOW WILL BE USED SOLEY BY OUR AGENCY.</t>
  </si>
  <si>
    <t>2YTHQ052068832</t>
  </si>
  <si>
    <t xml:space="preserve">
Sales Order #: 2270087887
RTD Screening Code: DOD
Reason for Rejection: YH</t>
  </si>
  <si>
    <t>2YTHQ052068831</t>
  </si>
  <si>
    <t xml:space="preserve">
Sales Order #: 2270087881
RTD Screening Code: DOD
Reason for Rejection: YG</t>
  </si>
  <si>
    <t>THESE ITEMS ARE BEING REQUESTED BY THE CLARKE COUNTY SHERIFF'S OFFICE, TO BE USED BY LAW ENFORCEMENT OFFICERS FOR LAW ENFORCEMENT PURPOSES. THE REQUESTED FIRST AID KIT, UNIVERSAL, WILL BE UTILIZED BY LAW ENFORCEMENT OFFICERS FOR EMERGENCY MEDICAL AID AS NEEDED DURING TRAINING EXERCISES AND FIELD OPERATIONS.</t>
  </si>
  <si>
    <t>2YTCFX52138828</t>
  </si>
  <si>
    <t xml:space="preserve">
Sales Order #: 2269858200
RTD Screening Code: DOD
Reason for Rejection: YG</t>
  </si>
  <si>
    <t>THESE ITEMS ARE BEING REQUESTED BY THE CLARKE COUNTY SHERIFF'S OFFICE, TO BE USED BY LAW ENFORCEMENT OFFICERS FOR LAW ENFORCEMENT PURPOSES. THE REQUESTED POWER PLANT,ELECTRIC,TRAILER MOUNTED, WILL BE UTILIZED BY LAW ENFORCEMENT OFFICERS FOR CONSEALMENT OF AREAS WITHIN THE FENCE LINE OF THE CORRECTIONAL FACILITY.</t>
  </si>
  <si>
    <t>2YTCFX52138822</t>
  </si>
  <si>
    <t xml:space="preserve">
Sales Order #: 2272340700
RTD Screening Code: GSA
Reason for Rejection: YD</t>
  </si>
  <si>
    <t>PROVIDE REAL-TIME INFORMATION TO DEPUTIES CONDUCTING TRAFFIC STOPS IN AREAS IDENTIFIED AS DRUG-RELATED. ENABLE ACCESS TO DATABASES FOR CHECKING INDIVIDUALS  HISTORIES OF DRUG-RELATED OFFENSES AND ANY ACTIVE WARRANTS. FACILITATE THE USE OF NARCOTICS-SPECIFIC DATABASES BY DRUG ENFORCEMENT AGENTS TO ASSIST IN THE IDENTIFICATION OF CONTROLLED SUBSTANCES. ADDITIONALLY, ALLOW DEPUTIES AND AGENTS TO CAPTURE PHOTOGRAPHS AND DOCUMENT DRUG-RELATED EVIDENCE DURING SEARCH WARRANTS.</t>
  </si>
  <si>
    <t>2YTC6652209272</t>
  </si>
  <si>
    <t xml:space="preserve">
Sales Order #: 2272393979
RTD Screening Code: DOD
Reason for Rejection: YG</t>
  </si>
  <si>
    <t>THIS UNIT WILL BE USED BY THE ZILWAUKEE CITY POLICE DEPARTMENT TO CLEAN OUR VIDEO SURVEILLANCE CAMERAS THROUGHOUT THE CITY OF ZILWAUKEE.</t>
  </si>
  <si>
    <t>2YTN1552209436</t>
  </si>
  <si>
    <t>ZILWAUKEE CITY POLICE DEPT (2YTN15)</t>
  </si>
  <si>
    <t xml:space="preserve">
Sales Order #: 2269744961
RTD Screening Code: DOD
Reason for Rejection: YG</t>
  </si>
  <si>
    <t>THE PICKETT COUNTY SHERIFFS OFFICE WOULD LIKE TO REQUEST THIS ITEM FOR USE IN OUR RUAL COUNTY TO ACCESS PLACES THAT WE CANT GET OUR PATROL UNITS</t>
  </si>
  <si>
    <t>2YTJMF52209458</t>
  </si>
  <si>
    <t xml:space="preserve">
Sales Order #: 2272282794
Reason for Rejection: YG</t>
  </si>
  <si>
    <t>WE ARE BOAZ POLICE. WE ARE IN NEED OF A WELDER FOR EXHAUST AND VARIOUS OTHER PARTS ON OUR POLICE VEHICLES. WE HAVE BEEN GIVEN A PERFECT BAY FOR A MECHANICS GARAGE. HOWEVER, WE ARE STARTING FROM NOTHING. I HAVE SOME MECHANIC EXPERIENCE AND I HAVE ANOTHER OFFICER WHO HAS DECADES. A WELDER WOULD BE OF EXTREME VALUE TO OUR DEPARTMENT TO REPAIR AND SERVICE OUR POLICE UNITS. THANK YOU FOR YOUR CONSIDERATION.</t>
  </si>
  <si>
    <t>2YTBCH52209693</t>
  </si>
  <si>
    <t xml:space="preserve">
Sales Order #: 2271915101
RTD Screening Code: DOD
Reason for Rejection: YH</t>
  </si>
  <si>
    <t>2YTQYX52410862</t>
  </si>
  <si>
    <t xml:space="preserve">
Sales Order #: 2274803124
RTD Screening Code: DOD
Reason for Rejection: YH</t>
  </si>
  <si>
    <t>2YTMGW52481399</t>
  </si>
  <si>
    <t xml:space="preserve">
Sales Order #: 2274775280
RTD Screening Code: DOD
Reason for Rejection: YH</t>
  </si>
  <si>
    <t>2YTMGW52481398</t>
  </si>
  <si>
    <t xml:space="preserve">
Sales Order #: 2275238249
RTD Screening Code: DOD
Reason for Rejection: BQ</t>
  </si>
  <si>
    <t>WILL BE USED BY LAW ENFORCMENT FOR LAW ENFORCMENT.  WILL BE USED AS A COMMAND CENTER AND BE USED FOR POLICE EVENTS LIKE NATIONAL NIGHT OUT</t>
  </si>
  <si>
    <t>TENT, SUPPORT TRAILER/GEN/ECU,BASE-X</t>
  </si>
  <si>
    <t>2YTJXJ52622363</t>
  </si>
  <si>
    <t xml:space="preserve">
Sales Order #: 2272951842
RTD Screening Code: DOD
Reason for Rejection: YH</t>
  </si>
  <si>
    <t>2YTL1552209570</t>
  </si>
  <si>
    <t xml:space="preserve">
Sales Order #: 2272728337
RTD Screening Code: DOD
Reason for Rejection: YG</t>
  </si>
  <si>
    <t>REQUESTED BY NORTH MYRTLE BEACH POLICE DEPARTMENT TO BE USED BY NMB POLICE STAFF TO TOW AGENCY TRAILERS.</t>
  </si>
  <si>
    <t>2YT1PG52279667</t>
  </si>
  <si>
    <t xml:space="preserve">
Sales Order #: 2272913500
RTD Screening Code: DOD
Reason for Rejection: YH</t>
  </si>
  <si>
    <t>FROM BOAZ POLICE. I WAS AWARDED THIS VEHICLE AND SOMETHING WENT WRONG. I AM HAVING TO APPLY AGAIN. WE ARE BOAZ POLICE DEPARTMENT AND WE ARE IN NEED OF PICK UP TRUCKS. ESPECIALLY, THOSE THAT CAN TOW AND DO WORK. DURING EMERGENCIES WE HAVE BARRICADES, RADAR TRAILER AND OTHER EMERGENCY EQUIPMENT WE NEED TO TAKE OUT TO LOCATIONS THAT ARE NEEDED AND THIS VEHICLE WOULD BE OF GOOD USE. ALSO, DRUG INTERDICTIONS, INVESTIGATIONS, EVIDENCE COLLECTION AND TRANSPORT. THANK YOU FOR YOUR TIME.</t>
  </si>
  <si>
    <t>2YTBCH52340320</t>
  </si>
  <si>
    <t xml:space="preserve">
Sales Order #: 2274173820
RTD Screening Code: DOD
Reason for Rejection: YH</t>
  </si>
  <si>
    <t>TANK, FUEL, AIRCRAFT, TRIPLE RINSED</t>
  </si>
  <si>
    <t>DSAIRFUCL</t>
  </si>
  <si>
    <t>2YTCHK52410971</t>
  </si>
  <si>
    <t xml:space="preserve">
Sales Order #: 2274231077
RTD Screening Code: DOD
Reason for Rejection: YH</t>
  </si>
  <si>
    <t>2YTCHK52411069</t>
  </si>
  <si>
    <t xml:space="preserve">
Sales Order #: 2274416743
RTD Screening Code: RTD2
Reason for Rejection: YH</t>
  </si>
  <si>
    <t>THIS ITEM HELPS THE POLICE MAINTAIN SAFE, FUNCTIONAL TRAINING GROUNDS BY PREVENTING EROSION ON SHOOTING BERMS AND KEEPING ACCESS ROADS CLEAR AND STABLE. IT ENSURES THE FIRING RANGE REMAINS OPERATIONAL YEAR-ROUND, SUPPORTS OFFICER READINESS, AND REDUCES LONG-TERM MAINTENANCE COSTS.</t>
  </si>
  <si>
    <t>2YTC3A52331232</t>
  </si>
  <si>
    <t xml:space="preserve">
Sales Order #: 2274567703
RTD Screening Code: DOD
Reason for Rejection: YG</t>
  </si>
  <si>
    <t>THE TEHAMA COUNTY SHERIFF'S OFFICE WILL USE HAND DOLLY IN OUR RECORDS, JAIL BOOKING, PATROL AND EMERGENCY OPERATION CENTER FOR DAILY OPERATIONS.</t>
  </si>
  <si>
    <t>HAND DOLLY</t>
  </si>
  <si>
    <t>DSDOLLY00</t>
  </si>
  <si>
    <t>2YTLQ752481365</t>
  </si>
  <si>
    <t xml:space="preserve">
Sales Order #: 2274703106
RTD Screening Code: DOD
Reason for Rejection: Y9</t>
  </si>
  <si>
    <t>THIS TOOL BOX WOULD BE USED TO STORE SPECIALIZED EQUIPMENT FOR LAW ENFORCEMENT SPECIAL TEAMS.</t>
  </si>
  <si>
    <t>2YTGAF52551781</t>
  </si>
  <si>
    <t xml:space="preserve">
Sales Order #: 2275145437
RTD Screening Code: DOD
Reason for Rejection: YH</t>
  </si>
  <si>
    <t>THESE DEVICES WILL BE UTILIZED BY OUR SWAT TEAM IN CONJUNCTION WITH OUR NIGHT VISION PROGRAM. THESE WILL BE INVENTORIED EACH YEAR. WE ARE FAMILIAR WITH THE USE AND REPAIR OF THESE DEVICES. I ACKNOWLEDGE THE CONDITION OF THESE DEVICES AND HAVE CONTACTED THE ON-SITE MANAGER AND CONFIRMED THEY ARE IN WORKING ORDER.</t>
  </si>
  <si>
    <t>2YTK8Z52481938</t>
  </si>
  <si>
    <t>SOUTH JORDAN POLICE DEPARTMENT (2YTK8Z)</t>
  </si>
  <si>
    <t xml:space="preserve">NEEDED BY LEA FOR SAFETY WHEN WORKING FROM HEIGHT
</t>
  </si>
  <si>
    <t>LANYARD,SAFETY,INDUSTRIAL</t>
  </si>
  <si>
    <t>2YTMPA52552142</t>
  </si>
  <si>
    <t>2YTMPA52552141</t>
  </si>
  <si>
    <t>2YTMPA52552139</t>
  </si>
  <si>
    <t>2YTMPA52552138</t>
  </si>
  <si>
    <t>2YTMPA52552137</t>
  </si>
  <si>
    <t>2YTMPA52552136</t>
  </si>
  <si>
    <t>AN OFF-ROAD VEHICLE ENHANCES POLICE RESPONSE BY ACCESSING TERRAIN UNREACHABLE BY PATROL CARS, IMPROVING MOBILITY IN EMERGENCIES, SEARCHES, AND RESCUES. IT ALLOWS SAFE MOVEMENT THROUGH CROWDS AT EVENTS, TRANSPORTS EQUIPMENT OR INJURED PERSONS, AND SUPPORTS DISASTER RESPONSE. COST-EFFECTIVE AND VERSATILE, IT REDUCES FLEET WEAR, INCREASES OFFICER SAFETY, AND ENSURES RAPID, RELIABLE SERVICE TO THE COMMUNITY.</t>
  </si>
  <si>
    <t>2YTLC652622323</t>
  </si>
  <si>
    <t>SPRING CITY POLICE DEPT (2YTLC6)</t>
  </si>
  <si>
    <t xml:space="preserve">
Sales Order #: 2275406841
RTD Screening Code: DOD
Reason for Rejection: Y9</t>
  </si>
  <si>
    <t>OUR AGENCY NEEDS THIS EQUIPMENT.  WILL BE USED BY REQUESTING AGENCY FOR LAW ENFORCEMENT PURPOSES ONLY.  WILL BE USED AT THE POLICE DEPARTMENT OFFICE FOR VARIOUS DOCUMENT PROTECTION TO INCLUDE LICENSES, PERMITS, ETC.  OUR EMPLOYEES WOULD FREQUENTLY USE THIS EQUIPMENT.</t>
  </si>
  <si>
    <t>MACHINE,LAMINATOR</t>
  </si>
  <si>
    <t>2YTHYA52622267</t>
  </si>
  <si>
    <t>THESE LAMINATORS WOULD BE USED FOR LAW ENFORCEMENT DOCUMENTS NEEDED DURING INCLEMENT WEATHER AND FOR SPECIAL TEAMS SUCH AS DIVE, SONAR, SWAT, AND TRAFFIC.</t>
  </si>
  <si>
    <t>2YTGAF52622330</t>
  </si>
  <si>
    <t>TENT WILL BE USED BY THE GREENE COUNTY SHERIFFS OFFICE TO DEPLOY ON SPECIAL ASSIGNMENTS OR A DISASTER TO ALLOW OFFICERS A DRY PLACE TO CONDUCT THEIR BUSINESS OR REST.</t>
  </si>
  <si>
    <t>2YTET652622326</t>
  </si>
  <si>
    <t>SAFETY DEVICE WILL BE USED BY THE MAINTENANCE PERSONNEL OF THE GREENE COUNTY SHERIFFS OFFICE WHEN WORKING IN HIGH ELEVATIONS TO AVOID A FALL PER OSHA GUIDELINES.</t>
  </si>
  <si>
    <t>2YTET652552339</t>
  </si>
  <si>
    <t>THE FULTON COUNTY SHERIFFS OFFICE IS REQUESTING THIS OFF ROAD UTILITY VEHICLE SO IT CAN BE USED FOR SEARCH AND RESCUE OPERATIONS IN OUR RURAL COUNTY. THIS WILL ALLOW DEPUTIES TO GET TO LOCATIONS NOT ABLE TO BE ACCESSED BY CARS.</t>
  </si>
  <si>
    <t>2YTEED52622251</t>
  </si>
  <si>
    <t xml:space="preserve">
Sales Order #: 2275412115
RTD Screening Code: DOD
Reason for Rejection: Y9</t>
  </si>
  <si>
    <t>2YTCPL52622261</t>
  </si>
  <si>
    <t>THE BRISTOL TENNESSEE POLICE DEPARTMENT WOULD USE THESE TWO STORAGE CONTAINERS AT OUR RANGE TO STORE TRAINING AIDES.</t>
  </si>
  <si>
    <t>TRICON,FREIGHT,SPEC</t>
  </si>
  <si>
    <t>2YTBJQ52622277</t>
  </si>
  <si>
    <t>WIDE APPLICATION OF USES BY POLICE DEPARTMENT MEMBERS INCLUDING SEARCH, RESCUE, AND DISASTER RESPONSE IN RURAL AREAS.</t>
  </si>
  <si>
    <t>2YTMY852622439</t>
  </si>
  <si>
    <t>THE THOMAS COUNTY SHERIFF'S OFFICE WILL USE FOR WORK DETAIL TRANSPORTATION</t>
  </si>
  <si>
    <t>2YTLSU52622412</t>
  </si>
  <si>
    <t>THOMAS COUNTY SHERIFF OFFICE (2YTLSU)</t>
  </si>
  <si>
    <t>THE SHERBURNE COUNTY SHERIFF'S OFFICE IS REQUESTING THERMAL IMAGERS FOR USE BY INVESTIGATORS AND PATROL.  THE IMAGERS PROVIDE A WAY TO CONDUCT SEARCH AND RESCUE AS WELL AS SURVEILANCE DURING HOURS OF DARKNESS.  THIS INCREASES THE ABILITY FOR OFFICERS TO SAVE LIVES AND CONDUCT INVESTIGATIONS.  THE SHERIFF'S OFFICE HAS CONFIRMED CONDTION D AND ACCEPTS THEM ITEMS AS IS.</t>
  </si>
  <si>
    <t>2YTK1W52622466</t>
  </si>
  <si>
    <t xml:space="preserve">
Sales Order #: 2275348835
RTD Screening Code: DOD
Reason for Rejection: Y9</t>
  </si>
  <si>
    <t>THIS ITEM WOULD BE USED BY THE ORANGE COUNTY SHERIFF'S DEPARTMENT. ONE OF OUR SOUTH PATROL DIVISIONS HAS REQUESTED A REFRIGERATOR TO REPLACE A BROKEN ONE IN THEIR STAFF BREAKROOM INSIDE THE DEPUTY SUB STATION. THE BREAKROOM IS UTILIZED BY DEPUTIES AND OTHER SHERIFF'S EMPLOYEES ASSIGNED TO CITY DUTIES.</t>
  </si>
  <si>
    <t>REFRIGERATOR</t>
  </si>
  <si>
    <t>DSREFRIG0</t>
  </si>
  <si>
    <t>2YT14Z52622420</t>
  </si>
  <si>
    <t xml:space="preserve">
Sales Order #: 2275348857
RTD Screening Code: DOD
Reason for Rejection: Y9</t>
  </si>
  <si>
    <t>2YT14Z52622419</t>
  </si>
  <si>
    <t>THE LAWRENCE COUNTY DETECTIVES WILL USE THE VEHICLE FOR DAILY OPERATIONS INCLUDING TRANSPORTATION OF EQUIPMENT AND PERSONNEL.</t>
  </si>
  <si>
    <t>2YTP4J52622461</t>
  </si>
  <si>
    <t>LAWRENCE COUNTY DA DETECTIVE BUREAU (2YTP4J)</t>
  </si>
  <si>
    <t>THESE ITEMS WOULD BE INTENDED FOR DESIGNATED MARKSMEN ON THE DEPARTMENT SWAT TEAM. WE OPERATE IN A RURAL AREA AND THESE ITEMS WOULD IMPROVE THE SAFETY OF THE OFFICERS AND THE PUBLIC DURING SITUATIONS IN LOW LIGHT OR NO LIGHT. THESE ARE ALSO INTENDED TO BE USED FOR SEARCHES FOR MISSING AND OR WANTED PERSONS. DUE TO BEING A RURAL AGENCY, WE FREQUENTLY ENCOUNTER SUBJECTS FLEEING INTO WOODED AREAS. SPECIFICALLY AT NIGHT TIME.</t>
  </si>
  <si>
    <t>2YTFXU52622410</t>
  </si>
  <si>
    <t xml:space="preserve">
Sales Order #: 2275150060
RTD Screening Code: DOD
Reason for Rejection: Y9</t>
  </si>
  <si>
    <t>FOREST PARK POLICE WILL USE THIS UTV TO PATROL BUSINESS DISTRICT FOR COMMUNITY POLICING OBJECTIVES.  ONLY FULL-TIME SWORN OFFICERS WILL USE THIS UTV.</t>
  </si>
  <si>
    <t>2YTD6U52622384</t>
  </si>
  <si>
    <t>DICKENSON COUNTY SHERIFF'S OFFICE IS A FULL-SERVICE LAW ENFORCEMENT AGENCY COVERING 344 SQUARE MILES OF RURAL, MOUNTAINOUS TERRAIN.  THIS VEHICLE WILL BE USED ONLY BY SWORN, CERTIFIED OFFICERS IN THE PERFORMANCE OF THEIR DUTIES.  THESE DUTIES INCLUDE SEARCH AND RESCUE MISSIONS, CALLS FOR SERVICE, AND PATROLLING MORE THAN 60 MILES OF ATV TRAILS IN THE RIDGEVIEW TRAILS SYSTEM.</t>
  </si>
  <si>
    <t>2YTDCB52622378</t>
  </si>
  <si>
    <t>TO USE FOR TRANSPORT DURING PARADES AND FOR LARGE PROJECTS.</t>
  </si>
  <si>
    <t>2YTBF952622450</t>
  </si>
  <si>
    <t>BRADFORD POLICE DEPARTMENT (2YTBF9)</t>
  </si>
  <si>
    <t xml:space="preserve">
Sales Order #: 2272123223
RTD Screening Code: DOD
Reason for Rejection: YG</t>
  </si>
  <si>
    <t>FBI SWAT PARAMEDIC REQUESTING SUPRAGLOTTIC AIRWAYS FOR USE IN TRAUMA PATIENTS WITH COMPROMISED AIRWAYS. IF THE DEVICES ARE IN POOR CONDITION THEY WILL STILL BE USEFUL FOR MEDICAL TRAINING. THE FBI SWAT CONDUCTS HIGH RISK WARRANT SERVICE AND IS LIKELY TO ENCOUNTER TRAUMA PATIENTS WITH COMPROMISED AIRWAYS.</t>
  </si>
  <si>
    <t>AIRWAY,SUPRAGLOTTIC</t>
  </si>
  <si>
    <t>2YTQY152209452</t>
  </si>
  <si>
    <t xml:space="preserve">
Sales Order #: 2274215291
RTD Screening Code: DOD
Reason for Rejection: YH</t>
  </si>
  <si>
    <t>TRUCK WILL BE USED BY HOUSTON POLICE OFFICERS IN THE HOUSTON POLICE PROPERTY ROOM TO TRANSPORT LARGE EVIDENCE WHEN COLLECTED AND ALSO WHEN NEEDED FOR COURT.</t>
  </si>
  <si>
    <t>2YTFKH52410896</t>
  </si>
  <si>
    <t xml:space="preserve">
Sales Order #: 2274144144
RTD Screening Code: GSA
Reason for Rejection: YH</t>
  </si>
  <si>
    <t>THE TUCSON POLICE DEPT IS SEEKING THESE STORAGE CASES TO BE USED AT THE ARMORY FOR STORAGE OF AMMUNITION USED IN TRAINING.</t>
  </si>
  <si>
    <t>CASE,SMALL ARMS AMM</t>
  </si>
  <si>
    <t>2YTLZ852411154</t>
  </si>
  <si>
    <t>THIS GENERATOR WOULD REPLACE OUR CURRENT AGING BACKUP BUILDING GENERATOR. THIS WOULD HELP US UPDATE OUR EQUIPMENT WHILE OFF SETTING THE COST OF REPLACEMENT. THIS IS AVITAL ASSET THAT COULD BE USED IMMEDIATELY.</t>
  </si>
  <si>
    <t>2YTD1D52341228</t>
  </si>
  <si>
    <t xml:space="preserve">
Sales Order #: 2275045682
RTD Screening Code: DOD
Reason for Rejection: Y9</t>
  </si>
  <si>
    <t>THESE AMPLIFIED EAR PROTECTION WILL BE USED BY PATROL OFFICERS FOR RANGE TRAINING AND CLASSES WHEN COMMUNICATION CAPABILITIES IS NOT NECESSARY. 
I HAVE CONTACTED THE BASE AND WE ARE SATISFIED WITH THE CONDITION OF THE HEARING PROTECTION.</t>
  </si>
  <si>
    <t>EARPLUG TACTICAL KIT</t>
  </si>
  <si>
    <t>2YTHDF52551802</t>
  </si>
  <si>
    <t xml:space="preserve">
Sales Order #: 2274906356
RTD Screening Code: DOD
Reason for Rejection: Y9</t>
  </si>
  <si>
    <t>DICKENSON COUNTY SHERIFF'S OFFICE IS A FULL-SERVICE LAW ENFORCEMENT AGENCY.  THIS PROPERTY WILL BE USED FOR DISASTER RESPONSE AND RECOVERY.</t>
  </si>
  <si>
    <t>2YTDCB52551825</t>
  </si>
  <si>
    <t xml:space="preserve">
Sales Order #: 2275146724
RTD Screening Code: DOD
Reason for Rejection: Y9</t>
  </si>
  <si>
    <t>FOR USE BY RESCUE AND LE TEAMS FOR HEARING PROTECTION AND COMMUNICATION DURING TRAINING AND IN THE FIELD FOR OPERATIONS FOR OFFICER SAFETY AND LOOKING FOR INJURED PERSONNEL</t>
  </si>
  <si>
    <t>2YTMGW52551838</t>
  </si>
  <si>
    <t xml:space="preserve">
Sales Order #: 2275069315
RTD Screening Code: DOD
Reason for Rejection: Y9</t>
  </si>
  <si>
    <t>THE ROCHESTER POLICE DEPARTMENT WILL USE THIS ITEM TO SECURE AND RETAIN ITEMS DURING TRAINING EVOLUTIONS.</t>
  </si>
  <si>
    <t>2YTKCC52551926</t>
  </si>
  <si>
    <t xml:space="preserve">
Sales Order #: 2275123953
RTD Screening Code: DOD
Reason for Rejection: Y9</t>
  </si>
  <si>
    <t>THE VONORE POLICE DEPARTMENT WOULD UTILIZE THIS ITEM TO MAINTAIN THE DEPARTMENT IMPOUND LOT. THE DEPARTMENT WOULD ALSO USE THIS SKID STEER IN THE EVIDENCE DESTRUCTION PROCESS. THE DEPARTMENT HAS OBSERVED THIS ITEM AND WILL ACCEPT IT IN CURRENT CONDITION.</t>
  </si>
  <si>
    <t>2YTM3P52551969</t>
  </si>
  <si>
    <t>2YTMPA52552124</t>
  </si>
  <si>
    <t xml:space="preserve">
Sales Order #: 2275503926
RTD Screening Code: DOD
Reason for Rejection: Y9</t>
  </si>
  <si>
    <t>THE WEAKLEY COUNTY SHERIFF'S OFFICE WOULD UTILIZE THESE HELMETS FOR PATROL DEPUTIES TO USE IN HIGH RISK SEARCH WARRANTS, HIGH RISK FUGITIVE APPREHENSION, AND OTHER HIGH RISK SITUATIONS WHERE HEAD PROTECTION OF DEPUTIES WOULD NEED TO BE ENHANCED FOR THE SAFETY OF THE DEPUTIES.  I HAVE SEEN THE INCLUDED PICTURES AND AM SATISFIED WITH THE LISTED CONDITION OF THE HELMETS.</t>
  </si>
  <si>
    <t>HELMET,GROUND TROOPS'</t>
  </si>
  <si>
    <t>2YTNED52552329</t>
  </si>
  <si>
    <t xml:space="preserve">
Sales Order #: 2275238238
RTD Screening Code: DOD
Reason for Rejection: Y9</t>
  </si>
  <si>
    <t>WASHINGTON COUNTY SHERIFF'S OFFICE IS A LAW ENFORCEMENT AGENCY IN THE STATE OF VIRGINIA. OUR AGENCY COULD USE THESE 2 ATV'S FOR PATROLING AND PRISIONER TRANSPORT AND SEARCHES. THESE ATV'S WILL BE USE BY LAW ENFORCEMENT PERSONNEL.</t>
  </si>
  <si>
    <t>2YTM9Q52622282</t>
  </si>
  <si>
    <t xml:space="preserve">
Sales Order #: 2275500918
RTD Screening Code: DOD
Reason for Rejection: Y9</t>
  </si>
  <si>
    <t>A SIDE-BY-SIDE ENHANCES POLICE RESPONSE BY ACCESSING TERRAIN UNREACHABLE BY PATROL CARS, IMPROVING MOBILITY IN EMERGENCIES, SEARCHES, AND RESCUES. IT ALLOWS SAFE MOVEMENT THROUGH CROWDS AT EVENTS, TRANSPORTS EQUIPMENT OR INJURED PERSONS, AND SUPPORTS DISASTER RESPONSE. COST-EFFECTIVE AND VERSATILE, IT REDUCES FLEET WEAR, INCREASES OFFICER SAFETY, AND ENSURES RAPID, RELIABLE SERVICE TO THE COMMUNITY.</t>
  </si>
  <si>
    <t>2YTLC652622318</t>
  </si>
  <si>
    <t xml:space="preserve">
Sales Order #: 2275405688
RTD Screening Code: DOD
Reason for Rejection: Y9</t>
  </si>
  <si>
    <t>ONEONTA POLICE DEPARTMENT WILL USE THIS AS A ERAD VEHICLE AND A RANGE CART.</t>
  </si>
  <si>
    <t>2YT13U52622314</t>
  </si>
  <si>
    <t xml:space="preserve">
Sales Order #: 2275406857
RTD Screening Code: DOD
Reason for Rejection: Y9</t>
  </si>
  <si>
    <t>OUR AGENCY NEEDS THIS EQUIPMENT.  WILL BE USED BY REQUESTING AGENCY FOR LAW ENFORCEMENT PURPOSES ONLY.  WILL BE USED AT OUR AGENCY FOR MAINTENANCE ON POLICE VEHICLES AND FOR MAINTENANCE NEEDS AT THE POLICE DEPARTMENT BUILDING.</t>
  </si>
  <si>
    <t>2YTHYA52622276</t>
  </si>
  <si>
    <t xml:space="preserve">
Sales Order #: 2275390498
RTD Screening Code: DOD
Reason for Rejection: Y9</t>
  </si>
  <si>
    <t>THIS ITEM WILL ONLY BE USED BY THE GLEASON POLICE DEPARTMENT. THIS ITEM WILL BE USED AT THE TRAINING FACILITY. THIS ITEM WILL BE USED TRANSPORT PERSONAL TO THE FACILITY AND RANGE. THIS ITEM WILL BE USED TO TRANSPORT EQUIPMENT NEEDED TO BE AT THE TRAINING FACILITY.</t>
  </si>
  <si>
    <t>2YTEMC52622313</t>
  </si>
  <si>
    <t xml:space="preserve">
Sales Order #: 2275500926
RTD Screening Code: DOD
Reason for Rejection: Y9</t>
  </si>
  <si>
    <t>THE BRISTOL TENNESSEE POLICE DEPARTMENT WOULD UTILIZE THESE TWO UTV'S TO TRANSPORT OFFICERS TO CALLS FOR SERVICE IN CAMPGROUNDS WHEN IT MAKES IT DIFFICULT FOR VEHICLES TO ACCESS THESE SITES WHEN LARGE CROWDS OF PEOPLE ARE IN TOWN. THE BASE STATES THESE RUN AND ARE OPERATIONAL.</t>
  </si>
  <si>
    <t>2YTBJQ52622249</t>
  </si>
  <si>
    <t xml:space="preserve">OUR AGENCY NEEDS THIS EQUIPMENT.  WILL BE USED BY REQUESTING AGENCY FOR LAW ENFORCEMENT PURPOSES ONLY.  WILL BE ISSUED TO OUR POLICE OFFICERS FOR NOTE TAKING AND DOCUMENTING INFORMATION DURING LAW ENFORCEMENT INCIDENTS.
</t>
  </si>
  <si>
    <t>FIELD KIT,TACTICAL</t>
  </si>
  <si>
    <t>2YTHYA52622564</t>
  </si>
  <si>
    <t xml:space="preserve">
Sales Order #: 2270093521
RTD Screening Code: DOD
Reason for Rejection: YH</t>
  </si>
  <si>
    <t>HILLSVILLE PD IS A LAW ENFORCEMENT AGENCY THAT CAN USE THIS NV FOR TACTICAL OPERATIONS AND CALL OUTS FOR YOUR SWORN OFFICERS RESPONDING TO EMERGENCY SITUATIONS SUCH AS VARIOUS CRIMINAL ACTIVITY OR SEARCH AND RECOVERY EFFORTS.</t>
  </si>
  <si>
    <t>2YTFFB52340411</t>
  </si>
  <si>
    <t xml:space="preserve">
Sales Order #: 2269716152
RTD Screening Code: DOD
Reason for Rejection: YG</t>
  </si>
  <si>
    <t>THE ITASCA POLICE DEPT. IS LOOKING FOR A VEHICLE TO USE FOR ADMINISTRATIVE USE AND THE INVESTIGATOR CAN USE THIS VEHICLE FOR CALL OUTS TO THE SCENES AND UPFIT WITH CRIME SCENE SUPPLIES TO BE UTILIZED ON SCENES</t>
  </si>
  <si>
    <t>2YTFTY52411442</t>
  </si>
  <si>
    <t xml:space="preserve">
Sales Order #: 2275560590
RTD Screening Code: GSA
Reason for Rejection: Y9</t>
  </si>
  <si>
    <t>2YTHZ852481586</t>
  </si>
  <si>
    <t xml:space="preserve">
Sales Order #: 2274949630
RTD Screening Code: GSA
Reason for Rejection: YG</t>
  </si>
  <si>
    <t>THE BRUNSWICK COUNTY SHERIFF'S OFFICE NEEDS THIS REQUISITIONING EQUIPMENT FOR STORAGE OF FIREARMS USED FOR COUNTER-DRUG-COUNTER-TERRORISM AND STORAGE OF ITEMS USED FOR TRAINING FOR DISASTER-RELATED EMERGENCY PREPAREDNESS AND SEARCH AND RESCUE OPERATIONS.</t>
  </si>
  <si>
    <t>2YTBMJ52481703</t>
  </si>
  <si>
    <t xml:space="preserve">
Sales Order #: 2274940945
RTD Screening Code: GSA
Reason for Rejection: YG</t>
  </si>
  <si>
    <t>THE BRUNSWICK COUNTY SHERIFF'S OFFICE NEEDS THIS REQUISITIONING EQUIPMENT FOR STORAGE OF FIREARMS USED FOR COUNTER-DRUG-COUNTER-TERRORISM.</t>
  </si>
  <si>
    <t>2YTBMJ52481699</t>
  </si>
  <si>
    <t xml:space="preserve">
Sales Order #: 2274949632
RTD Screening Code: DOD
Reason for Rejection: YG</t>
  </si>
  <si>
    <t>2YTBMJ52481698</t>
  </si>
  <si>
    <t xml:space="preserve">
Sales Order #: 2274900969
Reason for Rejection: YG</t>
  </si>
  <si>
    <t>A CAMOUFLAGE NET SYSTEM ALLOWS THE SRT TO CONCEAL THE LAV AND OTHER VEHICLES DURING HIGH-RISK OR EXTENDED OPERATIONS, REDUCING VISIBILITY TO HOSTILE ACTORS AND PROVIDING COVER IN RURAL OR OPEN TERRAIN. THIS ENHANCES OFFICER SAFETY, PROTECTS CRITICAL EQUIPMENT, AND SUPPORTS MISSION SUCCESS WHERE CONCEALMENT AND SURPRISE ARE ESSENTIAL.</t>
  </si>
  <si>
    <t>2YTFKS52481654</t>
  </si>
  <si>
    <t xml:space="preserve">
Sales Order #: 2275560601
RTD Screening Code: GSA
Reason for Rejection: Y9</t>
  </si>
  <si>
    <t>FOR MAINTAINING POLICE DEPARTMENT HEADQUARTERS BUILDING AND POLICE GARAGES. FOR CHANGING AND MAINTAINING LIGHT FIXTURES AND SECURITY CAMERAS IN ELEVATED AREAS ON CAMPUS</t>
  </si>
  <si>
    <t>2YTCHC52482062</t>
  </si>
  <si>
    <t xml:space="preserve">
Sales Order #: 2275560584
RTD Screening Code: GSA
Reason for Rejection: Y9</t>
  </si>
  <si>
    <t>2YTHZ852482086</t>
  </si>
  <si>
    <t xml:space="preserve">
Sales Order #: 2275560591
RTD Screening Code: GSA
Reason for Rejection: Y9</t>
  </si>
  <si>
    <t>FOR POLICE USE TO MAINTAIN CURRENT BUILDING IN REACHING ELEVATED AREAS, AS WELL AS TO EMPLACE EQUIPMENT FROM A STABILIZED PLATFORM IN ELEVATED AREAS.</t>
  </si>
  <si>
    <t>2YTHZ852482084</t>
  </si>
  <si>
    <t>FOR USE BY LEA DURING EMERGENCY RESPONSE SITUATIONS</t>
  </si>
  <si>
    <t>2YTMPA52552147</t>
  </si>
  <si>
    <t xml:space="preserve">FOR USE BY LEA DURING EMERGENCY RESPONSE SITUATIONS
</t>
  </si>
  <si>
    <t>2YTMPA52552146</t>
  </si>
  <si>
    <t xml:space="preserve">
Sales Order #: 2275396608
RTD Screening Code: DOD
Reason for Rejection: Y9</t>
  </si>
  <si>
    <t>I AM A SERGEANT WITH THE SACRAMENTO COUNTY SHERIFF'S OFFICE. I HAVE BEEN TASKED WITH LOCATING EQUIPMENT AND RESOURCES FOR THE SHERIFF'S OFFICE. THE EQUIPMENT- RESOURCES OBTAINED WILL ENHANCE THE SHERIFF OFFICE'S MAINTENANCE AND RESPONSE CAPABILITIES.</t>
  </si>
  <si>
    <t>WRENCH,PIPE</t>
  </si>
  <si>
    <t>2YTKJH52552175</t>
  </si>
  <si>
    <t xml:space="preserve">
Sales Order #: 2275281676
RTD Screening Code: DOD
Reason for Rejection: Y9</t>
  </si>
  <si>
    <t>OUR AGENCY NEEDS THIS EQUIPMENT. WILL BE USED BY REQUESTING AGENCY FOR LAW ENFORCEMENT PURPOSES ONLY.  WILL BE ISSUED TO PATROL OFFICERS FOR TIME KEEPING DURING INVESTIGATIONS AND INTERVIEWS.</t>
  </si>
  <si>
    <t>2YTHYA52552222</t>
  </si>
  <si>
    <t xml:space="preserve">
Sales Order #: 2275629769
RTD Screening Code: GSA
Reason for Rejection: Y9</t>
  </si>
  <si>
    <t>2YTC2B52482225</t>
  </si>
  <si>
    <t xml:space="preserve">
Sales Order #: 2275500915
RTD Screening Code: DOD
Reason for Rejection: Y9</t>
  </si>
  <si>
    <t>OVERALLS WILL BE ISSUED TO OFFICERS OF THE GREENE COUNTY SHERIFFS OFFICE FOR WINTER TIME WEAR WHEN ON OUTSIDE ASSIGNMENTS TO KEEP THEM WARM.</t>
  </si>
  <si>
    <t>OVERALLS,COLD WEATH</t>
  </si>
  <si>
    <t>2YTET652622345</t>
  </si>
  <si>
    <t xml:space="preserve">
Sales Order #: 2275530164
RTD Screening Code: DOD
Reason for Rejection: Y9</t>
  </si>
  <si>
    <t>SO DEPUTIES OF THE MEIGS COUNTY SHERIFFS OFFICE CAN ATTACH TO THEIR RIFLES FOR BETTER TARGET IDENTIFICATION DURING ACTIVE SHOOTER AND SCHOOL SHOOTINGS.</t>
  </si>
  <si>
    <t>MAGNIFIER,WEAPON SIGHT</t>
  </si>
  <si>
    <t>2YTHJZ52552365</t>
  </si>
  <si>
    <t xml:space="preserve">
Sales Order #: 2275530168
RTD Screening Code: DOD
Reason for Rejection: Y9</t>
  </si>
  <si>
    <t>SO DEPUTIES OF THE MEIGS COUNTY SHERIFFS OFFICE CAN ATTACH TO THEIR RIFLES FOR MORE POSITIVE TARGET IDENTIFICATION DURING ACTIVE SHOOTER AND SCHOOL SHOOTER SITUATIONS.</t>
  </si>
  <si>
    <t>2YTHJZ52552351</t>
  </si>
  <si>
    <t xml:space="preserve">
Sales Order #: 2275530175
RTD Screening Code: DOD
Reason for Rejection: Y9</t>
  </si>
  <si>
    <t>WOULD BE ISSUED OUT TO SUPPORT OFFICERS OPTICS ON THEIR DEPARTMENT ISSUED RIFLES. WE DO NOT HAVE MAGNIFIERS AVAILABLE UNLESS OFFICERS HAVE ALREADY PURCHASED THEIR OWN.</t>
  </si>
  <si>
    <t>2YTDSG52552356</t>
  </si>
  <si>
    <t xml:space="preserve">
Sales Order #: 2275530177
RTD Screening Code: DOD
Reason for Rejection: Y9</t>
  </si>
  <si>
    <t>WILL BE ISSUED TO DEPUTIES WITH REFLEX OPTICS TO ENHANCE THEIR LANG RANG ABILITY</t>
  </si>
  <si>
    <t>2YTLK552552385</t>
  </si>
  <si>
    <t xml:space="preserve">
Sales Order #: 2275530171
RTD Screening Code: DOD
Reason for Rejection: Y9</t>
  </si>
  <si>
    <t>SARDINIA POLICE DEPARTMENT IS REQUESTING RESOURCES THAT CAN BE ISSUED TO POLICE OFFICERS FOR THEIR ASSIGNED PATROL DUTY WEAPON SYSTEM. WITH LIMITED AND NO ADDITIONAL FUNDING RESOURCES FOR ITEMS, RECEIPT OF THE REQUESTED ITEM WOULD ASSIST, SUSTAIN, AND REDUCE THE COST FOR SARDINIA POLICE DEPARTMENT TO OUTFIT POLICE OFFICERS NECESSARY EQUIPMENT IN THEIR DUTIES TO PROTECT AND SERVE. SITE WAS CONTACTED WILL CONFIRM AND ACCEPT CONDITION OF DEVICES AND OR OPTICS.</t>
  </si>
  <si>
    <t>2YTKSE52552480</t>
  </si>
  <si>
    <t xml:space="preserve">
Sales Order #: 2275503935
RTD Screening Code: DOD
Reason for Rejection: Y9</t>
  </si>
  <si>
    <t>THESE MAGNIFIERS WOULD BE ISSUED TO ROAD PATROL DEPUTIES WITH THE OCEANA COUNTY SHERIFF'S OFFICE FOR USE ON THEIR DEPARTMENT ISSUED RIFLES FOR BETTER TARGET ACQUISITION DURING A GUNFIGHT. CONDITION OF THESE UNITS WERE VERIFIED WITH DLA COLUMBUS</t>
  </si>
  <si>
    <t>2YT1XS52552458</t>
  </si>
  <si>
    <t xml:space="preserve">
Sales Order #: 2275405693
RTD Screening Code: DOD
Reason for Rejection: Y9</t>
  </si>
  <si>
    <t>OUR AGENCY NEEDS THIS EQUIPMENT.  WILL BE USED BY REQUESTING AGENCY FOR LAW ENFORCEMENT PURPOSES ONLY.  WILL BE ISSUED TO POLICE OFFICERS - SWAT MEMBERS FOR DUTY AND TRAINING USE FOR ENHANCED EYE PROTECTION. WILL COORDINATE SHIPPING WHEN REQUISITION IS APPROVED.</t>
  </si>
  <si>
    <t>2YTHYA52622405</t>
  </si>
  <si>
    <t xml:space="preserve">
Sales Order #: 2275503916
RTD Screening Code: DOD
Reason for Rejection: Y9</t>
  </si>
  <si>
    <t>TO BE USED BY SWORN LAW ENFORCEMENT PERSONNEL, THESE GOGGLES WILL GIVE TACTICAL OFFICERS EYE PROTECTION.</t>
  </si>
  <si>
    <t>2YTPMR52622459</t>
  </si>
  <si>
    <t>MECKLENBURG CSO (2YTPMR)</t>
  </si>
  <si>
    <t xml:space="preserve">
Sales Order #: 2275318077
RTD Screening Code: DOD
Reason for Rejection: Y9</t>
  </si>
  <si>
    <t>THESE LIGHTS WILL BE USED BY PATROL OFFICERS AND SRT OPERATORS WHILE WORKING IN DARK ENVIRONMENTS.  THEY WILL ALLOW OFFICERS TO HAVE LIGHT WHERE THEY NEED IT WITHOUT ALWAYS HAVING TO USE A HANDHELD LIGHT AS WELL AS THEY HAVE IR LIGHT FOR USE WITH NIGHT VISION.</t>
  </si>
  <si>
    <t>2YTHDF52552472</t>
  </si>
  <si>
    <t xml:space="preserve">
Sales Order #: 2275503910
RTD Screening Code: DOD
Reason for Rejection: Y9</t>
  </si>
  <si>
    <t>THE LAWRENCE COUNTY DETECTIVES WILL USE THE MAGNIFIERS TO ENHANCE THE OPTICS ON THEIR ISSUED RIFLE SYSTEMS.</t>
  </si>
  <si>
    <t>2YTP4J52552463</t>
  </si>
  <si>
    <t xml:space="preserve">
Sales Order #: 2275318074
RTD Screening Code: DOD
Reason for Rejection: Y9</t>
  </si>
  <si>
    <t>ADDITIONAL GOGGLES ARE NEEDED TO PROTECT SRT MEMBERS FROM WIND, DUST, DEBRIS, AND COLD WHILE OPERATING IN AND AROUND THE LAV WITH HATCHES OPEN. THEY ALSO PROVIDE EYE PROTECTION DURING TACTICAL ENTRIES, RURAL OPERATIONS, AND LESS-LETHAL DEPLOYMENTS, ENSURING SAFETY AND READINESS IN ALL CONDITIONS.</t>
  </si>
  <si>
    <t>2YTFKS52622425</t>
  </si>
  <si>
    <t xml:space="preserve">
Sales Order #: 2275530173
RTD Screening Code: DOD
Reason for Rejection: BQ</t>
  </si>
  <si>
    <t>MY AGENCY IS CONSTRUCTING A 10000 SQ FT SIMUNITION BUILDING AND WE HAVE YET TO ACQUIRE SIMUNITION KITS. THIS EQUIPMENT WILL GREATLY ASSIST WITH TRAINING OF OUR AGENCY AND SURROUNDING.</t>
  </si>
  <si>
    <t>2YTDSG52552464</t>
  </si>
  <si>
    <t xml:space="preserve">
Sales Order #: 2275503932
RTD Screening Code: DOD
Reason for Rejection: Y9</t>
  </si>
  <si>
    <t>FBI CINCINNATI REQUESTS THE OPTICS FOR USE IN SUPPORT OF MISSION CRITICAL OPERATIONS.  FBI CINCINNATI CONFIRMS AND ACCEPTS CONDITION OF OPTICS.</t>
  </si>
  <si>
    <t>2YTMRG52552421</t>
  </si>
  <si>
    <t>PALMER PD CURRENTLY HAS 17 PATROL RIFLES WITH EOTECH WEAPON SIGHTS AFFIXED TO THEM. THESE MAGNIFIERS WOULD SUPPLEMENT ONTO THESE EXISTING PATROL RIFLES AND ALLOW OFFICERS TO HAVE INCREASED MAGNIFICATION ON THEIR PATROL RIFLES.</t>
  </si>
  <si>
    <t>2YTJCA52552534</t>
  </si>
  <si>
    <t xml:space="preserve">
Sales Order #: 2275530170
RTD Screening Code: DOD
Reason for Rejection: Y9</t>
  </si>
  <si>
    <t>FOR USE ON PATROL RIFLES DURING CRITICLE INCIDENTS IN OPEN AREAS OF THE SURROUNDING COUNTY.</t>
  </si>
  <si>
    <t>2YTGHQ52552540</t>
  </si>
  <si>
    <t xml:space="preserve">
Sales Order #: 2275318075
RTD Screening Code: DOD
Reason for Rejection: Y9</t>
  </si>
  <si>
    <t>KATY POLICE OFFICERS WILL UTILIZE THESE MAGNIFIERS DURING THE OFFICIAL DUTIES DURING WEAPONS, TRAINING, QUALIFICATIONS, AND DUTY USE.</t>
  </si>
  <si>
    <t>2YTF3T52552499</t>
  </si>
  <si>
    <t>KATY POLICE DEPT (2YTF3T)</t>
  </si>
  <si>
    <t xml:space="preserve">
Sales Order #: 2275530162
RTD Screening Code: DOD
Reason for Rejection: Y9</t>
  </si>
  <si>
    <t>FOR USE BY FCSO SWAT OFFICERS TO ASSIST IN HOSTAGE RESCUE OPERATIONS</t>
  </si>
  <si>
    <t>2YTDXH52552519</t>
  </si>
  <si>
    <t xml:space="preserve">
Sales Order #: 2275318088
RTD Screening Code: DOD
Reason for Rejection: Y9</t>
  </si>
  <si>
    <t>THESE MAGNIFIERS WOULD BE ADDED TO FULL TIME SWORN OFFICERS GUNS TO MAKE THEM MORE ACCURATE IF CALLED UP TO PROTECT SOCIETY BY USING FORCE THAT IS REQUIRED TO PROTECT LIFE.</t>
  </si>
  <si>
    <t>2YTPDD52552486</t>
  </si>
  <si>
    <t xml:space="preserve">
Sales Order #: 2270769840
RTD Screening Code: DOD
Reason for Rejection: YG</t>
  </si>
  <si>
    <t>NEEDED FOR SWAT EQUIPMENT TRANSPORTATION. WILL BE USED FOR TRANSPORTATION TO AND FROM TRAINING FACILITIES WITH EQUIPMENT. CAN ALSO BE USED DURING NATURAL DISASTERS AND DANGEROUS WEATHER.</t>
  </si>
  <si>
    <t>2YTGK952279916</t>
  </si>
  <si>
    <t xml:space="preserve">
Sales Order #: 2273658812
RTD Screening Code: DOD
Reason for Rejection: YG</t>
  </si>
  <si>
    <t>THE FAYETTEVILLE POLICE DEPARTMENT IS COMMITTED TO MAXIMIZING RESOURCES TO ENHANCE PUBLIC SAFETY WHILE REMAINING FISCALLY RESPONSIBLE. ACQUIRING LARGE TOOL BOXES THROUGH EXCESS GOVERNMENT PROPERTY PROGRAMS OFFERS A PRACTICAL AND COST-EFFECTIVE SOLUTION TO SUPPORT OUR OPERATIONS. THESE TOOL BOXES PROVIDE SECURE, ORGANIZED STORAGE FOR ESSENTIAL EQUIPMENT SUCH AS EVIDENCE COLLECTION TOOLS, MAINTENANCE GEAR, AND SPECIALIZED RESPONSE KITS, ENSURING QUICK ACCESSIBILITY DURING CRITICAL IN</t>
  </si>
  <si>
    <t>2YTD1D52340281</t>
  </si>
  <si>
    <t xml:space="preserve">
Sales Order #: 2274141292
RTD Screening Code: DOD
Reason for Rejection: YH</t>
  </si>
  <si>
    <t>THE SCOTLAND COUNTY SHERIFF'S OFFICE IS LOOKING TO ADD THIS VEHICLE TO ASSIST WITH OUR SWAT TEAM WITH TACTICAL AND SEARCH AND RESCUE OPERATIONS.  THIS VEHICLE WOULD SERVE AS A COMMAND VEHICLE USED BY THE DEPARTMENT DURING DISASTER SEARCH AND RESCUE OPERATIONS AND TACTICAL OPERATIONS.</t>
  </si>
  <si>
    <t>2YTKUK52411088</t>
  </si>
  <si>
    <t xml:space="preserve">
Sales Order #: 2269297271
RTD Screening Code: GSA
Reason for Rejection: YG</t>
  </si>
  <si>
    <t>THE BAY COUNTY SHERIFF'S OFFICE NEEDS TWO OF THESE SHELTERS TO ADD TO OUR SHOOT DON'T SHOOT VILLAGE FOR TRAINING PURPOSES ON OUR FIREARM'S RANGE</t>
  </si>
  <si>
    <t>2YTAYW52411259</t>
  </si>
  <si>
    <t xml:space="preserve">
Sales Order #: 2275045180
RTD Screening Code: DOD
Reason for Rejection: Y9</t>
  </si>
  <si>
    <t>THE TOWN OF CHEEKTOWAGA POLICE DEPARTMENT IS RESPONSIBLE FOR RESPONDING FOR CALLS FOR SERVICE IN AN AREA THAT IS PRONE TO SNOW EMERGENCIES. THE DEPARTMENT DOES NOT HAVE THIS TYPE OF EQUIPMENT AND MUST RELY ON HIRING CONTRACTORS TO ASSIST IN THE RESPONSE TO CALLS FOR SERVICE IN A SNOW EMERGENCY. THIS EQUIPMENT WILL GREATLY IMPROVE OUR RESPONSE CAPABILITIES IN A SNOW EMERGENCY.</t>
  </si>
  <si>
    <t>CARRIER,CARGO</t>
  </si>
  <si>
    <t>2YTB9D52551939</t>
  </si>
  <si>
    <t>CHEEKTOWAGA POLICE DEPT (2YTB9D)</t>
  </si>
  <si>
    <t xml:space="preserve">
Sales Order #: 2275170163
RTD Screening Code: DOD
Reason for Rejection: Y9</t>
  </si>
  <si>
    <t>THE SO SRT REQUIRES ADVANCED HEARING PROTECTION INTEGRATED WITH SECURE COMMUNICATIONS FOR HIGH-RISK OPERATIONS. THE INVISIO HEADSET PROVIDES BALLISTIC HELMET COMPATIBILITY, AND CLEAR COMMS IN DYNAMIC ENVIRONMENTS. THIS ENHANCES OFFICER SAFETY, COORDINATION, AND MISSION SUCCESS DURING TACTICAL DEPLOYMENTS.</t>
  </si>
  <si>
    <t>2YTFKS52552011</t>
  </si>
  <si>
    <t xml:space="preserve">
Sales Order #: 2275170169
RTD Screening Code: DOD
Reason for Rejection: Y9</t>
  </si>
  <si>
    <t>THE SO SRT CAN USE ADVANCED HEARING PROTECTION INTEGRATED WITH SECURE COMMUNICATIONS FOR HIGH-RISK OPERATIONS. THE INVISIO HEADSET PROVIDES BALLISTIC HELMET COMPATIBILITY, AND CLEAR COMMS IN DYNAMIC ENVIRONMENTS. THIS ENHANCES OFFICER SAFETY, COORDINATION, AND MISSION SUCCESS DURING TACTICAL DEPLOYMENTS.</t>
  </si>
  <si>
    <t>2YTFKS52552010</t>
  </si>
  <si>
    <t xml:space="preserve">
Sales Order #: 2275414651
RTD Screening Code: DOD
Reason for Rejection: Y9</t>
  </si>
  <si>
    <t>TPWD LE DIVISION K9 REQUEST THE TRAILER FOR TRANSPORTING ASSIGNED ATV TO AND FROM PATROL AREAS, FOR MOVING EQUIPMENT AND SUPPLIES WHEN NEEDED, AND ANY OTHER APPLICABLE LE USE.</t>
  </si>
  <si>
    <t>2YTL2652622280</t>
  </si>
  <si>
    <t xml:space="preserve">
Sales Order #: 2275318080
RTD Screening Code: DOD
Reason for Rejection: Y9</t>
  </si>
  <si>
    <t>OUR AGENCY NEEDS THIS EQUIPMENT.  WILL BE USED BY REQUESTING AGENCY FOR LAW ENFORCEMENT PURPOSES ONLY.  WILL BE USED BY OUR EMPLOYEES TO AID IN SEARCH AND RESCUE OPERATIONS.  OUR AGENCY RESPONDS TO LOST HIKERS AND MISSING PERSONS IN AND AROUND THE WOODLAND AREA OF OUR CITY.  THIS EQUIPMENT WOULD IMPROVE OUR AGENCY'S ABILITY TO SUCCESSFULLY RESOLVE THOSE SITUATIONS.  THIS EQUIPMENT WOULD ALSO BE USED FOR OBSERVATION PURPOSES BY OUR EMPLOYEES DURING CRITICAL INCIDENTS.</t>
  </si>
  <si>
    <t>2YTHYA52622272</t>
  </si>
  <si>
    <t xml:space="preserve">
Sales Order #: 2275348847
RTD Screening Code: DOD
Reason for Rejection: Y9</t>
  </si>
  <si>
    <t>2YTLY352622414</t>
  </si>
  <si>
    <t xml:space="preserve">
Sales Order #: 2275390418
RTD Screening Code: DOD
Reason for Rejection: Y9</t>
  </si>
  <si>
    <t>WILL BE USED BY LAW ENFORCMENT FOR LAW ENFORCMENT,  WILL BE USED TO CARRY TRAFFIC CONTROL DEVICES SUCH AS CONES</t>
  </si>
  <si>
    <t>2YTJXJ52622401</t>
  </si>
  <si>
    <t xml:space="preserve">
Sales Order #: 2275770764
RTD Screening Code: DOD
Reason for Rejection: Y9</t>
  </si>
  <si>
    <t xml:space="preserve">FEDERAL SCREENER FOR DIVISION WITH 200 LAW ENFORCEMENT AGENTS TO INCLUDE 19 SWAT OPERATORS.  THESE SPOTTING SCOPES WILL BE USED FOR SURVEILLANCE OPERATIONS, FUGITIVE MANHUNTS AND MISSING CHILDREN OPERATIONS.  BUDGET IS LIMITED AND ARE COST PROHIBITIVE TO PURCHASE.  I HAVE CONTACTED THE SITE WHERE THE PROPERTY IS LOCATED AND CONFIRM AND ACCEPT CONDITION.
</t>
  </si>
  <si>
    <t>WEAPON ACCESSORIES</t>
  </si>
  <si>
    <t>DSSWEPASC</t>
  </si>
  <si>
    <t>2YTQY152622478</t>
  </si>
  <si>
    <t xml:space="preserve">
Sales Order #: 2275502964
RTD Screening Code: DOD
Reason for Rejection: Y9</t>
  </si>
  <si>
    <t>THESE WOULD BE FOR MONTANA HIGHWAY PATROL AGENCY USE.  LAW ENFORCEMENT FUNCTION IS FOR USE BY CRASH INVESTIGATION AND CRITICAL INCIDENT ON SCENE MAPPING.  SECONDARY FUNCTION WOULD BE FOR DEPLOYMENT WITH SPECIAL RESPONSE TEAM FOR SURVEILLANCE AND OFFICER SAFETY PURPOSES.</t>
  </si>
  <si>
    <t>2YTH7Z52622527</t>
  </si>
  <si>
    <t>MONTANA HIGHWAY PATROL (2YTH7Z)</t>
  </si>
  <si>
    <t xml:space="preserve">
Sales Order #: 2275318092
RTD Screening Code: DOD
Reason for Rejection: Y9</t>
  </si>
  <si>
    <t>THESE SPOTTING SCOPES WILL BE USED BY OUR SRT SNIPERS AND SPOTTERS WHEN CONDUCTING OBSERVATION OPERATIONS. 
I HAVE CONTACTED THE BASE AND WE ARE SATISFIED WITH THE CONDITION OF THE OPTICS.</t>
  </si>
  <si>
    <t>2YTHDF52622511</t>
  </si>
  <si>
    <t xml:space="preserve">
Sales Order #: 2275560589
RTD Screening Code: DOD
Reason for Rejection: Y9</t>
  </si>
  <si>
    <t>WE ARE A SMALL LOCAL LAW ENFORCEMENT AGENCY AND WOULD UTILIZE THESE ITEMS TO AID OUR OFFICERS  WITH ROUTINE LAW ENFORCEMENT ACTIVITIES AS WELL AS SEARCH AND RESCUE ACTIVITIES. THESE ITEMS WOULD ONLY BE USED BY SWORN LAW ENFORCEMENT OFFICERS.</t>
  </si>
  <si>
    <t>2YTPML52622510</t>
  </si>
  <si>
    <t xml:space="preserve">
Sales Order #: 2273586307
RTD Screening Code: DOD
Reason for Rejection: Y9</t>
  </si>
  <si>
    <t>FOR LAW ENFORCEMENT OPERATIONS IN HIGH DRUG TRAFFIC AREAS, RELATED TO COUNTER TERROR, INCIDENTS INVOLVING HIGH PROPENSITY OF WEAPONS INVOLVEMENT, AND INVESTIGATIONS INVOLVING SUSPECTS WITH VIOLENT HISTORY AND TENDENCIES, HIGH RISK WARRANTS, POTENTIAL RESPONSE TO ACTIVE SHOOTER EVENTS, SEARCHES FOR LOST PERSONS, AND DAILY PATROL RESPONSIBILITIES.  
CONDITION B OF THE ITEMS IS CONFIRMED AND ACCEPTED.</t>
  </si>
  <si>
    <t>2YTG8952559767</t>
  </si>
  <si>
    <t xml:space="preserve">
Sales Order #: 2274479212
RTD Screening Code: DOD
Reason for Rejection: Y9</t>
  </si>
  <si>
    <t>HOLDING FACILITY HAS BEEN CONTACTED TO VERIFY CONDITIONS. THIS EQUIPMENT WILL BE USED BY TRAINED ON DUTY SWORN OFFICERS ONLY. THIS EQUIPMENT WILL BE USED TO ENHANCE ACCURACY AND OFFICER SAFETY AS A RESULT.</t>
  </si>
  <si>
    <t>2YTEQK52551109</t>
  </si>
  <si>
    <t xml:space="preserve">
Sales Order #: 2275123951
RTD Screening Code: DOD
Reason for Rejection: Y9</t>
  </si>
  <si>
    <t>THIS ITEM WILL BE USED EXCLUSIVELY BY LEOS FROM THIS LEA. THIS ITEM WILL BE ISSUED TO OFFICERS TO CARRY ON THEIR PERSON TO RESPOND TO CRITICAL INCIDENTS, ACTIVE SHOOTERS, AND MASS CASUALTY INCIDENTS.</t>
  </si>
  <si>
    <t>2YTK2052551810</t>
  </si>
  <si>
    <t xml:space="preserve">
Sales Order #: 2275146723
RTD Screening Code: DOD
Reason for Rejection: Y9</t>
  </si>
  <si>
    <t>THIS ITEM WILL BE USED EXCLUSIVELY BY LEOS FROM THIS LEA. THIS VEHICLE WILL BE USED TO TOW OUR RANGE TRAILER TO OUR OFF-SITE SHOOTING RANGE, AND UTILIZED BY OUR SPECIALIZED UNITS TO RESPOND TO EMERGENCIES.</t>
  </si>
  <si>
    <t>2YTK2052551809</t>
  </si>
  <si>
    <t xml:space="preserve">
Sales Order #: 2275123965
RTD Screening Code: DOD
Reason for Rejection: Y9</t>
  </si>
  <si>
    <t>2YTK2052551808</t>
  </si>
  <si>
    <t xml:space="preserve">
Sales Order #: 2275146727
RTD Screening Code: DOD
Reason for Rejection: Y9</t>
  </si>
  <si>
    <t>2YTK2052551807</t>
  </si>
  <si>
    <t xml:space="preserve">
Sales Order #: 2274972160
RTD Screening Code: DOD
Reason for Rejection: Y9</t>
  </si>
  <si>
    <t>RCSO NEEDS THIS EQUIPMENT TO TOW, HAUL EQUIPMENT, AND RESPONDING TO INCIDENTS WHERE CURRENT SIMILAR EQUIPMENT IS NOT PRESENT.  THE ADDITION OF THIS EQUIPMENT IS VITAL TO MAINTAIN READINESS WITHOUT UNNECESSARY DELAYS TO LOCATE THIS NEEDED ITEM.</t>
  </si>
  <si>
    <t>2YTJ7852551823</t>
  </si>
  <si>
    <t xml:space="preserve">
Sales Order #: 2275146711
RTD Screening Code: DOD
Reason for Rejection: Y9</t>
  </si>
  <si>
    <t>2YTMGW52551791</t>
  </si>
  <si>
    <t xml:space="preserve">
Sales Order #: 2275123961
RTD Screening Code: DOD
Reason for Rejection: Y9</t>
  </si>
  <si>
    <t>2YTMGW52551790</t>
  </si>
  <si>
    <t xml:space="preserve">
Sales Order #: 2275045664
RTD Screening Code: DOD
Reason for Rejection: Y9</t>
  </si>
  <si>
    <t>THIS VEHICLE IS NEEDED TO AID IN PATROL, COUNTER THE WAR ON DRUGS, AND SECURITY. THE TELLICO PLAINS POLICE DEPARTMENT ACCEPTS ALL COSTS AND EXPENSES.</t>
  </si>
  <si>
    <t>2YTLRG52551833</t>
  </si>
  <si>
    <t xml:space="preserve">
Sales Order #: 2275146725
RTD Screening Code: DOD
Reason for Rejection: Y9</t>
  </si>
  <si>
    <t>FOR USE BY THIS LEA ONLY. TO BE USED BY LEOS OF THIS AGENCY. HURST SET WILL BE UTILIZED DURING LAW ENFORCEMENT OPERATIONS THAT REQUIRE RAPID FORCIBLE ENTRY, RESCUE AND TACTICAL RESPONSE</t>
  </si>
  <si>
    <t>RESCUE AND SALVAGING KIT,HYDRAULIC</t>
  </si>
  <si>
    <t>2YTEY452551839</t>
  </si>
  <si>
    <t xml:space="preserve">
Sales Order #: 2274972157
RTD Screening Code: DOD
Reason for Rejection: Y9</t>
  </si>
  <si>
    <t>WE ARE A SMALL LOCAL LAW ENFORCEMENT AGENCY AND WOULD UTILIZE THIS TRUCK FOR OUR UNDERCOVER NARCOTICS PATROL UNIT. THIS ITEM WOULD ONLY BE USED BY SWORN LAW ENFORCEMENT OFFICERS.</t>
  </si>
  <si>
    <t>2YTPML52551826</t>
  </si>
  <si>
    <t xml:space="preserve">
Sales Order #: 2275123964
RTD Screening Code: DOD
Reason for Rejection: Y9</t>
  </si>
  <si>
    <t>2YTEY452551877</t>
  </si>
  <si>
    <t>THIS CART,GOLF IS REQUESTED BY HOLLY HILL PD, FOR USE BY HOLLY HILL PD OFFICERS TO PATROL THE DOWNTOWN AREAS WHERE PATROL CARS WILL NOT FIT.</t>
  </si>
  <si>
    <t>2YTRSD52551916</t>
  </si>
  <si>
    <t xml:space="preserve">
Sales Order #: 2275146715
RTD Screening Code: DOD
Reason for Rejection: Y9</t>
  </si>
  <si>
    <t>THIS ITEM IS BEING REQUESTED FOR LAW ENFORCEMENT USE ONLY. POLICE OFFICERS WILL USE THESE COMPUTER MONITORS WHEN TYPING POLICE DEPARTMENT REPORTS.</t>
  </si>
  <si>
    <t>2YTPXC52551891</t>
  </si>
  <si>
    <t xml:space="preserve">
Sales Order #: 2275390506
RTD Screening Code: DOD
Reason for Rejection: Y9</t>
  </si>
  <si>
    <t>FOR USE AT THE FBI CRTF. I HAVE CONTACTED THE SITE AND CONFIRMED THE CONDITION OF THE ITEMS. THEY ARE IN SUITABLE CONDITION FOR THE INTENDED USE.</t>
  </si>
  <si>
    <t>2YTMRF52551813</t>
  </si>
  <si>
    <t xml:space="preserve">
Sales Order #: 2275503940
RTD Screening Code: DOD
Reason for Rejection: Y9</t>
  </si>
  <si>
    <t>2YTMRF52551812</t>
  </si>
  <si>
    <t xml:space="preserve">
Sales Order #: 2275500928
RTD Screening Code: DOD
Reason for Rejection: Y9</t>
  </si>
  <si>
    <t>2YTMRF52551811</t>
  </si>
  <si>
    <t xml:space="preserve">
Sales Order #: 2275503915
RTD Screening Code: DOD
Reason for Rejection: Y9</t>
  </si>
  <si>
    <t>2YTQY152551932</t>
  </si>
  <si>
    <t xml:space="preserve">
Sales Order #: 2275503923
RTD Screening Code: DOD
Reason for Rejection: Y9</t>
  </si>
  <si>
    <t>OUR SWAT TEAM WILL USE THESE NIGHT VISION GOGGLES WHILE CONDUCTING TACTICAL LAW ENFORCEMENT OPERATIONS.  OUR MISSION SET INCLUDES COUNTER DRUG SEARCH WARRANT SERVICE, COUNTER TERRORISM, AND VARIOUS OTHER OPERATIONS.  WE ARE AWARE THESE GOGGLES ARE CONDITION F AND AN N00 DTID.  WE HAVE CONTACTED THE SITE TO CHECK CONDITION AND WILL TAKE THEM AS THEY ARE.  WE HAVE HAD SUCCESS REPAIRING THIS TYPE OF GOGGLE.</t>
  </si>
  <si>
    <t>2YTP2752551904</t>
  </si>
  <si>
    <t xml:space="preserve">
Sales Order #: 2275072198
RTD Screening Code: DOD
Reason for Rejection: Y9</t>
  </si>
  <si>
    <t>THE BRISTOL TENNESSEE POLICE DEPARTMENT WOULD UTILIZE THE NIGHT VISION SETS TO AIDE OFFICERS IN LOW LIGHT SITUATIONS INCLUDING OUR DEPARTMENT SPECIAL RESPONSE TEAM IN KEEPING OFFICERS SAFE DURING WARRANT SERVICE OR SEARCH WARRANTS. WE HAVE CHECKED WITH A LOCAL NIGHT VISION MANUFACTURING COMPANY ON EVALUATING THESE TO SEE IF THEY CAN BE REPAIRED FOR USE.</t>
  </si>
  <si>
    <t>2YTBJQ52551898</t>
  </si>
  <si>
    <t xml:space="preserve">
Sales Order #: 2275145454
RTD Screening Code: DOD
Reason for Rejection: Y9</t>
  </si>
  <si>
    <t>FOR USE BY THIS LEA ONLY. THE FOLLOWING EQUIPMENT REQUEST DIRECTLY SUPPORTS THE ROSELLE POLICE DEPARTMENT SPECIAL SERVICES AND ADMINISTRATIVE SERVICES BUREAUS LOCATED IN THREE OFFICE SPACES. 12 COMPUTER MONITORS WILL IMPROVE 6 WORK SPACES CURRENTLY WITH OUTDATED 16 INCH SINGLE SCREEN UNITS DATED FROM 2014 TO 2018. DUAL UNITS WILL IMPROVE WORK FLOW, INVESTIGATION AND EFFICIENCY SPECIFICALLY FOR THE TRAFFIC SAFETY, RECORDS, TRAINING AND COMMUNITY POLICING BUREAUS.</t>
  </si>
  <si>
    <t>2YTKFS52552028</t>
  </si>
  <si>
    <t xml:space="preserve">
Sales Order #: 2275170143
RTD Screening Code: DOD
Reason for Rejection: Y9</t>
  </si>
  <si>
    <t>FOR THE USE BY THIS LAW ENFORCEMENT AGENCY, ORANGE POLICE ONLY. THE MONITORS TO REPLACE OUTDATED, SMALLER UNITS CURRENTLY IN USE. THE UPGRADES WILL SUPPORT THE PATROL, DETECTIVE, AND COMMUNICATIONS UNITS, PROVIDING LARGER SCREENS TO IMPROVE EFFICIENCY, ENHANCE REPORT WRITING, AND CREATE MORE FUNCTIONAL WORKSTATIONS.</t>
  </si>
  <si>
    <t>2YT15D52551981</t>
  </si>
  <si>
    <t xml:space="preserve">
Sales Order #: 2275170166
RTD Screening Code: DOD
Reason for Rejection: Y9</t>
  </si>
  <si>
    <t>THIS LEA WILL UTILIZE THE REQUESTED FLAT PLANEL MONITOR TO REPLACE DAMAGED LEA COMPUTER MONITORS. THE EQUIPMENT REQUESTED WILL SPECIFICALLY BE USED BY THIS LEA TO UPGRADE CURRENT MONITORS FOR LEA MEMBERS TO COMPLETE REPORTS ACCESS LAW ENFORCEMENT DATABASES REVIEW VIDEO AND COMPLETE MANDATORY ONLINE COMPUTER TRAINING.</t>
  </si>
  <si>
    <t>2YTQUN52552012</t>
  </si>
  <si>
    <t xml:space="preserve">
Sales Order #: 2275146719
RTD Screening Code: DOD
Reason for Rejection: Y9</t>
  </si>
  <si>
    <t>TO BE USED BY MEMBERS OF THE TOWN OF KENT POLICE DEPARTMENT FOR REPORT WRITING, CRIMINAL INVESTIGATIONS AND OTHER POLICE RELATED ACTIVITIES</t>
  </si>
  <si>
    <t>2YTF5U52551974</t>
  </si>
  <si>
    <t xml:space="preserve">
Sales Order #: 2275145425
RTD Screening Code: DOD
Reason for Rejection: Y9</t>
  </si>
  <si>
    <t>FOR USE BY THIS LEA ONLY. TO BE USED BY THE LEOS OF THIS AGENCY. THIS COMPUTER MONITOR WILL BE UTILIZED TO SUPPORT LAW ENFORCEMENT OPERATIONS, INCLUDING REPORT WRITING, CASE MANAGEMENT, AND CRITICAL INCIDENT MONITORING.</t>
  </si>
  <si>
    <t>2YTEY452552073</t>
  </si>
  <si>
    <t xml:space="preserve">
Sales Order #: 2275629777
RTD Screening Code: DOD
Reason for Rejection: Y9</t>
  </si>
  <si>
    <t>2YTDSG52552023</t>
  </si>
  <si>
    <t xml:space="preserve">
Sales Order #: 2275153461
RTD Screening Code: DOD
Reason for Rejection: Y9</t>
  </si>
  <si>
    <t>THE DEA IS CONDUCTING OPERATIONS THROUGHOUT THE WORLD AND NEED TO APPREHEND CRIMINALS WHICH KEEPS THE CITIZENS SAFE IN THEIR OWN COMMUNITIES LEA HAS CONFIRMED THE SITE HAS BEEN CONTACTED AND ACCEPTED CONDITION OF PROPERTY</t>
  </si>
  <si>
    <t>2YTRTP52551905</t>
  </si>
  <si>
    <t xml:space="preserve">
Sales Order #: 2275630436
RTD Screening Code: DOD
Reason for Rejection: Y9</t>
  </si>
  <si>
    <t>2YTHZ852552088</t>
  </si>
  <si>
    <t xml:space="preserve">
Sales Order #: 2275173792
RTD Screening Code: DOD
Reason for Rejection: Y9</t>
  </si>
  <si>
    <t>THE HOWELL COUNTY SHERIFF'S OFFICE IS A LAW ENFORCEMENT AGENCY.??THESE WOULD FILL A NEED FOR LOW LIGHT AND NO LIGHT NAVIGATION DURING EMERGENCIES LIKE NATURAL DISASTERS, MISSING PERSONS CASES, FUGITIVE APPREHENSION, AND OTHER CRISES. THESE UNITS WOULD ENHANCE HCSO'S CAPABILITIES AND BENEFIT NOT ONLY HOWELL COUNTY BUT ALSO SURROUNDING AREAS RELYING ON HCSO FOR MUTUAL AID IN EMERGENCY RESPONSE.</t>
  </si>
  <si>
    <t>2YTFKX52552015</t>
  </si>
  <si>
    <t>2YTMPA52552140</t>
  </si>
  <si>
    <t xml:space="preserve">
Sales Order #: 2275390425
RTD Screening Code: DOD
Reason for Rejection: Y9</t>
  </si>
  <si>
    <t>DICKENSON COUNTY SHERIFF'S OFFICE IS A FULL-SERVICE LAW ENFORCEMENT AGENCY.  THIS PROPERTY WILL BE USED TO TOW THE DEPARTMENT'S HEAVY EQUIPMENT, SUCH AS DOZER AND LOADER, FOR DISASTER RESPONSE AND RECOVERY.</t>
  </si>
  <si>
    <t>2YTDCB52552214</t>
  </si>
  <si>
    <t xml:space="preserve">
Sales Order #: 2275529551
RTD Screening Code: DOD
Reason for Rejection: Y9</t>
  </si>
  <si>
    <t>2YTC2B52552219</t>
  </si>
  <si>
    <t xml:space="preserve">
Sales Order #: 2275390423
RTD Screening Code: DOD
Reason for Rejection: Y9</t>
  </si>
  <si>
    <t>WASHINGTON COUNTY SHERIFF'S OFFICE IS A LAW ENFORCEMENT AGENCY IN THE STATE OF VIRGINIA. OUR AGENCY COULD USE THIS ROAD TRACTOR TO PULL TRAILER AND EQUIPMENT. THIS TRUCK WILL BE USE BY LAW ENFORCEMENT PERSONNEL.</t>
  </si>
  <si>
    <t>2YTM9Q52552290</t>
  </si>
  <si>
    <t xml:space="preserve">
Sales Order #: 2275406845
RTD Screening Code: DOD
Reason for Rejection: Y9</t>
  </si>
  <si>
    <t>WASHINGTON COUNTY SHERIFF'S OFFICE IS A LAW ENFORCEMENT AGENCY IN THE STATE OF VIRGINIA. OUR AGENCY COULD USE THIS CHEVROLET SUV FOR PATROLING AND PRISIONERS TRANSPORTS. THIS VEHICLE WILL BE USE BY LAW ENFORCEMENT PERSONNEL.</t>
  </si>
  <si>
    <t>2YTM9Q52552287</t>
  </si>
  <si>
    <t xml:space="preserve">
Sales Order #: 2275406855
RTD Screening Code: DOD
Reason for Rejection: Y9</t>
  </si>
  <si>
    <t>OUR AGENCY NEEDS THIS EQUIPMENT. WILL BE USED BY REQUESTING AGENCY FOR LAW ENFORCEMENT PURPOSES ONLY. WILL BE USED FOR POLICE VEHICLE MAINTENANCE, AS WELL AS MAINTENANCE AND REPAIR PURPOSES AT THE POLICE DEPARTMENT OFFICE BUILDING AND GARAGE.</t>
  </si>
  <si>
    <t>2YTHYA52622279</t>
  </si>
  <si>
    <t xml:space="preserve">
Sales Order #: 2275390422
RTD Screening Code: DOD
Reason for Rejection: Y9</t>
  </si>
  <si>
    <t>DICKENSON COUNTY SHERIFF'S OFFICE IS A FULL-SERVICE LAW ENFORCEMENT AGENCY.  THIS VEHICLE WILL BE USED TO TOW DEPARTMENT ATVS AND TO MAINTAIN RADIO TOWER SITES, ENSURING EFFECTIVE CRITICAL COMMUNICATIONS OPERATIONS.</t>
  </si>
  <si>
    <t>2YTDCB52622270</t>
  </si>
  <si>
    <t xml:space="preserve">
Sales Order #: 2275348845
RTD Screening Code: DOD
Reason for Rejection: Y9</t>
  </si>
  <si>
    <t>DICKENSON COUNTY SHERIFF'S OFFICE IS A FULL-SERVICE LAW ENFORCEMENT AGENCY.  THIS VEHICLE WILL BE USED TO TOW DEPARTMENT ATVS AND TO RESPOND TO CALLS FOR SERVICE INCLUDING SEARCH AND RESCUE AND DISASTER RESPONSE AND RECOVERY.</t>
  </si>
  <si>
    <t>2YTDCB52552275</t>
  </si>
  <si>
    <t xml:space="preserve">
Sales Order #: 2275629793
RTD Screening Code: DOD
Reason for Rejection: Y9</t>
  </si>
  <si>
    <t>THE COLUMBUS POLICE DEPARTMENT WILL USE THIS UAV TO ASSIST IN SEARCH AND RESCUE OPERATIONS IN RURAL AREAS AND TO ASSIST WITH SCENE EVALUATION FOLLOWING NATURAL DISASTERS.</t>
  </si>
  <si>
    <t>2YTCPL52622264</t>
  </si>
  <si>
    <t xml:space="preserve">
Sales Order #: 2275503920
RTD Screening Code: DOD
Reason for Rejection: Y9</t>
  </si>
  <si>
    <t>THE BRISTOL POLICE DEPARTMENT WOULD USE THIS TRUCK TO PULL A LARGE TRAILER AND PICK-UP LARGE PIECES OF RTD EQUIPMENT. THIS WOULD BE DRIVEN BY MEMBERS OF THE POLICE DEPARTMENT AND THE BASE STATED IT WAS OPERATIONAL.</t>
  </si>
  <si>
    <t>2YTBJQ52552265</t>
  </si>
  <si>
    <t xml:space="preserve">
Sales Order #: 2275390494
RTD Screening Code: DOD
Reason for Rejection: Y9</t>
  </si>
  <si>
    <t>THE BRISTOL POLICE DEPARTMENT WAS PREVIOUSLY APPROVED FOR THIS VEHICLE BUT IT WAS SHOWN TO BE TAKEN ON A HIGH PRIORITY ORDER. WE WOULD UTILIZE THIS VEHICLE FOR EITHER A DRONE RESPONSE VEHICLE OR FOR OUR EVIDENCE TECHNICIAN TO TRANSPORT EVIDENCE TO THE CRIME LAB AND RESPOND TO CRIME SCENES BASED ON THE CAPABILITIES OF THE VEHICLE. THE BASE STATES THE VEHICLE RUNS AND DRIVES.</t>
  </si>
  <si>
    <t>2YTBJQ52552245</t>
  </si>
  <si>
    <t xml:space="preserve">
Sales Order #: 2275238247
RTD Screening Code: DOD
Reason for Rejection: Y9</t>
  </si>
  <si>
    <t>FOR USE BY ON DUTY OFFICERS OF THE LANSING POLICE DEPARTMENT TO ATTACH HEARING PROTECTION TO HELMETS TO IMPROVE HEARING PROTECTION AND RADIO COMMUNICATION.</t>
  </si>
  <si>
    <t>ADAPTER,HEADSET</t>
  </si>
  <si>
    <t>2YTPER52622348</t>
  </si>
  <si>
    <t>FOR USE BY RESCUE AND LE TEAMS TO USE WITH HEARING PROTECTION DURING TRAINING AND IN THE FIELD TO BE USED WITH SAFETY HELMETS TO MOUNT TO. ENABLES COMMUNICATION AND OFFICER SAFETY</t>
  </si>
  <si>
    <t>2YTMGW52622362</t>
  </si>
  <si>
    <t xml:space="preserve">
Sales Order #: 2275503922
RTD Screening Code: DOD
Reason for Rejection: Y9</t>
  </si>
  <si>
    <t>THE THOMAS COUNTY SHERIFF'S OFFICE WILL UTILIZE THIS SERVICE VEHICLE TO SUPPORT OUR PATROL VEHICLE FLEET.</t>
  </si>
  <si>
    <t>2YTLSU52622417</t>
  </si>
  <si>
    <t xml:space="preserve">
Sales Order #: 2275503937
RTD Screening Code: DOD
Reason for Rejection: Y9</t>
  </si>
  <si>
    <t>THIS ASSET WOULD BENEFIT THIS AGENCY BY ALLOWING US TO UTILIZE THIS ASSET AS A PARTS VEHICLE FOR OUR CURRENT VAN WE HAVE. THE ASSET WE CURRENTLY HAVE IS NEEDING PARTS. WE WOULD UTILIZE ONE OR THE OTHER TO MAKE AT LEAST ONE RUN CORRECTLY</t>
  </si>
  <si>
    <t>2YTS0852622438</t>
  </si>
  <si>
    <t xml:space="preserve">
Sales Order #: 2275503912
RTD Screening Code: DOD
Reason for Rejection: Y9</t>
  </si>
  <si>
    <t>THIS ASSET WOULD BENEFIT OUR AGENCY AS WELL AS OUR OFFICERS BY ALLOWING THEM TO UTILIZE IT AS A PATROL AND INVESTIGATOR VEHICLE FOR DAILY USE TO ASSIS THEM IN RESPONDING TO INITIAL CALLS OF SERVICE. SPOKE TO THE DLA LOCAITON AND WE WOULD BE WILLING TO FIX THE ISSUES WITH THIS ASSET.</t>
  </si>
  <si>
    <t>2YTS0852552436</t>
  </si>
  <si>
    <t xml:space="preserve">
Sales Order #: 2275318089
RTD Screening Code: DOD
Reason for Rejection: Y9</t>
  </si>
  <si>
    <t>THIS ITEM WILL ONLY BE USED BY THE GLEASON POLICE DEPARTMENT. THIS ITEM WILL BE USED DURING A NATURAL DISASTER. THIS ITEM WILL BE USED TO TRANSPORT NECESSARY SUPPLIES DURING TORNADOES TO HELP CLEAR DEBRIS. THIS ITEM WILL BE USED TO TRANSPORT ITEMS REQUIRED FOR RECOVERY DURING NATURAL DISASTERS.</t>
  </si>
  <si>
    <t>2YTEMC52622476</t>
  </si>
  <si>
    <t xml:space="preserve">
Sales Order #: 2275629789
RTD Screening Code: DOD
Reason for Rejection: Y9</t>
  </si>
  <si>
    <t>FOR USE BY FCSO SWAT OFFICERS IN STORING SENSITIVE EQUIPMENT</t>
  </si>
  <si>
    <t>2YTDXH52622398</t>
  </si>
  <si>
    <t>USE BY RESCUE AND LE TEAMS TO SEE IN LOW LIGHT DURING TRAINING AND OPERATIONS FOR OFFICER SAFETY AND FOR INJURED PERSONNEL</t>
  </si>
  <si>
    <t>2YTMGW52552469</t>
  </si>
  <si>
    <t xml:space="preserve">
Sales Order #: 2275503936
RTD Screening Code: DOD
Reason for Rejection: Y9</t>
  </si>
  <si>
    <t>WE ARE SMALL LOCAL LAW ENFORCEMENT AGENCY AND WOULD UTILIZE THIS ITEM TO AID IN COMMUNITY POLICING AND TO TRANSPORT OFFICERS DURING SPECIAL EVENTS TO POSTS NON ACCESSIBLE BY PATROL VEHICLES.</t>
  </si>
  <si>
    <t>2YTPML52552415</t>
  </si>
  <si>
    <t xml:space="preserve">
Sales Order #: 2275503911
RTD Screening Code: DOD
Reason for Rejection: Y9</t>
  </si>
  <si>
    <t>TO USE FOR OFFICERS WORKING AT CITY PARK AND FESTIVALS ON PARK GROUNDS.</t>
  </si>
  <si>
    <t>2YTBF952552104</t>
  </si>
  <si>
    <t xml:space="preserve">
Sales Order #: 2275740001
RTD Screening Code: DOD
Reason for Rejection: Y9</t>
  </si>
  <si>
    <t>THE MT. ORAB POLICE DEPARTMENT WOULD LIKE TO ACQUIRE THIS SMALL GENERATOR. WE WOULD LIKE TO STORE THIS ON OUR F350 WORK TRUCK THAT WE USE FOR ALL PROJECTS. THIS WOULD MAKE FOR A MOBILE POWER UNIT THAT WE COULD UTILIZE.</t>
  </si>
  <si>
    <t>2YTH5S52552559</t>
  </si>
  <si>
    <t xml:space="preserve">
Sales Order #: 2275629885
RTD Screening Code: DOD
Reason for Rejection: Z2</t>
  </si>
  <si>
    <t>TO BE UTILIZED BY THE LAKEVILLE POLICE DEPARTMENT AND ISSUED TO OFFICERS TO KEEP WARM DURING CRIMINAL INVESTIGATIONS IN EXTREME COLD WEATHER CONDITIONS.</t>
  </si>
  <si>
    <t>JACKET,EXTREME COLD</t>
  </si>
  <si>
    <t>2YTGG752552543</t>
  </si>
  <si>
    <t>LAKEVILLE POLICE DEPT (2YTGG7)</t>
  </si>
  <si>
    <t xml:space="preserve">
Sales Order #: 2275617790
RTD Screening Code: DOD
Reason for Rejection: Y9</t>
  </si>
  <si>
    <t>IF AWARDED THESE WOULD BE ISSUED TO THE SHERIFFS TACTICAL TEAM MEMBERS FOR THE COMMS ON THEIR HELMETS. THESE WOULD ALLOW THE COMMS TO BE MOUNTED ON THE HELMETS INSTEAD OF HAVING TO WEAR THEM UNDER THE HELMET.</t>
  </si>
  <si>
    <t>2YTM9S52622591</t>
  </si>
  <si>
    <t xml:space="preserve">
Sales Order #: 2275649766
RTD Screening Code: DOD
Reason for Rejection: Y9</t>
  </si>
  <si>
    <t>THESE UNITS WOULD BE UTILIZED BY TACTICAL OFFICERS WITH THE OCEANA COUNTY SHERIFF'S OFFICE TO MOUNT HEARING PROTECTION TO BALLISTIC HELMETS</t>
  </si>
  <si>
    <t>2YT1XS52622628</t>
  </si>
  <si>
    <t xml:space="preserve">
Sales Order #: 2275629888
RTD Screening Code: DOD
Reason for Rejection: Y9</t>
  </si>
  <si>
    <t>FOR OFFICIAL USE BY THE MONTANA HIGHWAY PATROL.  PRIMARY LAW ENFORCEMENT FUNCTION WILL BE SPECIAL RESPONSE TEAM USE SUCH AS FUGITIVE APPREHENSION, RECONNAISSANCE, AND SEARCH AND RESCUE ASSIST.</t>
  </si>
  <si>
    <t>2YTH7Z52622600</t>
  </si>
  <si>
    <t xml:space="preserve">
Sales Order #: 2275628489
RTD Screening Code: DOD
Reason for Rejection: Y9</t>
  </si>
  <si>
    <t>IF ACQUIRED, THE MASON COUNTY SHERIFF'S OFFICE WOULD USE THIS DRONE FOR SEARCH AND RESCUE OPERATION IN OPEN FIELDS OR TREE COVERED AREAS. CONDITION WAS VERIFIED WITH DLA SAN JOAQUIN.</t>
  </si>
  <si>
    <t>2YTHD952622598</t>
  </si>
  <si>
    <t xml:space="preserve">
Sales Order #: 2275539061
RTD Screening Code: DOD
Reason for Rejection: Y9</t>
  </si>
  <si>
    <t>REQUESTED BY THE LAURENS POLICE DEPARTMENT FOR USE BY LAURENS POLICE OFFICERS. TO BE MOUNTED ONTO WEAPON SYSTEMS</t>
  </si>
  <si>
    <t>2YTGKQ52622597</t>
  </si>
  <si>
    <t>LAURENS PD (2YTGKQ)</t>
  </si>
  <si>
    <t xml:space="preserve">
Sales Order #: 2275746149
RTD Screening Code: DOD
Reason for Rejection: Y9</t>
  </si>
  <si>
    <t>USED BY LAW ENFORCEMENT OFFICERS TO MAINTAIN WEAPONS EQUIPMENT, CLEANING SUPPLIES, MAINTENANCE TO VEHICLE SUPPLIES FOR ALL LAW ENFORCEMENT WEAPONS AND VEHICLES.</t>
  </si>
  <si>
    <t>TABLE,WORK,AUTOMOTI</t>
  </si>
  <si>
    <t>2YTD1X52552674</t>
  </si>
  <si>
    <t>THIS PIECE OF EQUIPMENT WOULD BE USED BY THIS LEAS SCUBA,SWIFTWATER RESCUE UNIT. THIS PIECE OF EQUIPMENT WILL BE USED BY LEOS OF THIS LEA ONLY. I WOULD ALLOW FOR US TO RETRIEVE PEOPLE WHEN PARTS OF OR AO ARE AFFECTED BY FLASH FLOODS AND HURRICANES</t>
  </si>
  <si>
    <t>2YTJFA52552717</t>
  </si>
  <si>
    <t>PASSAIC COUNTY SHERIFF'S OFFICE (2YTJFA)</t>
  </si>
  <si>
    <t xml:space="preserve">
Sales Order #: 2275858134
RTD Screening Code: DOD
Reason for Rejection: Y9</t>
  </si>
  <si>
    <t>2YTG1752552739</t>
  </si>
  <si>
    <t>TO BE USED BY THE EMERGENCY SERVICE UNIT FOR TRANSPORTATION OF OFFICERS TO TRAINING EVENTS AND DRILLS FOR MEMBERS OF SERVICE.</t>
  </si>
  <si>
    <t>2YTFY852552725</t>
  </si>
  <si>
    <t>JERSEY CITY POLICE DEPT (2YTFY8)</t>
  </si>
  <si>
    <t xml:space="preserve">
Sales Order #: 2275858123
RTD Screening Code: DOD
Reason for Rejection: Y9</t>
  </si>
  <si>
    <t xml:space="preserve">THE GROVER BEACH POLICE DEPARTMENT HAS AN OPERATIONAL REQUIREMENT FOR AN IR LASER ILLUMINATOR TO SUPPORT MISSION-ESSENTIAL FUNCTIONS IN NARCOTICS INTERDICTION, COASTAL SECURITY, AND COUNTERTERRORISM OPERATIONS.
</t>
  </si>
  <si>
    <t>2YTEXF52552768</t>
  </si>
  <si>
    <t>GROVER BEACH POLICE DEPT (2YTEXF)</t>
  </si>
  <si>
    <t>THIS WOULD BENEFIT THE COCHRAN POLICE DEPARTMENT IN PREPARATION FOR A NATURAL DISASTER WHERE THE RESIDENTS OF COCHRAN WOULD BE WITHOUT WATER.</t>
  </si>
  <si>
    <t>2YTCL752552654</t>
  </si>
  <si>
    <t>COCHRAN POLICE DEPARTMENT (2YTCL7)</t>
  </si>
  <si>
    <t>NEEDED BY LEA TO MAKE LOW LIGHT OBSERVATIONS</t>
  </si>
  <si>
    <t>THERMAL CAMERA</t>
  </si>
  <si>
    <t>DSTHRMCAM</t>
  </si>
  <si>
    <t>2YTMPA52552134</t>
  </si>
  <si>
    <t>THE WASHINGTON TOWNSHIP LEA IS REQUESTING A PICKUP TRUCK. THIS WILL BE USED BY LEOS IN THE PERFORMANCE OF THEIR DUTIES. IT WILL BE ASSIGNED TO THE TRAFFIC DIVISION AND USED TO MOVE CONES AND BARRICADES. ALSO TO TOW OUR LIGHT TOWERS.</t>
  </si>
  <si>
    <t>2YTQYZ52693095</t>
  </si>
  <si>
    <t>WASHINGTON TWP PD BERGEN COUNTY (2YTQYZ)</t>
  </si>
  <si>
    <t xml:space="preserve">
Sales Order #: 2272946826
RTD Screening Code: DOD
Reason for Rejection: YF</t>
  </si>
  <si>
    <t>THE SARDINIA POLICE DEPARTMENT IS REQUESTING RESOURCES TO ASSIST AND SUSTAIN OPERATIONS DURING CRITICAL SITUATIONS. WITH LIMITED RESOURCES AND NO SUPPLEMENTARY FUNDING, RECEIPT OF REQUESTED ITEMS WOULD REDUCE THE ADDITIONAL COST THAT SARDINIA POLICE DEPARTMENT WOULD OCCUR WITH PURCHASING RESOURCES THAT WILL BE USED FOR MOBILE CRIME SCENE UNIT OR MOBILE TACTICAL OPERATIONS COMMAND CENTER, FOR OFFICERS AS A FIRST RESPONDER DURING CRITICAL SITUATIONS.</t>
  </si>
  <si>
    <t>2YTKSE52279740</t>
  </si>
  <si>
    <t xml:space="preserve">
Sales Order #: 2273391334
RTD Screening Code: DOD
Reason for Rejection: YG</t>
  </si>
  <si>
    <t>HMMWV RIGHT DOOR REQUESTED BY ATLANTIC BEACH PD, FOR USE BY ATLANTIC BEACH PD TO REPLACE 1 OF 2 CURRENTLY DAMAGED RIGHT DOORS ON ISSUED HMMWV FROM THIS PROGRAM TO ATLANTIC BEACH PD.</t>
  </si>
  <si>
    <t>2YTQD952340182</t>
  </si>
  <si>
    <t xml:space="preserve">
Sales Order #: 2273770212
RTD Screening Code: DOD
Reason for Rejection: YH</t>
  </si>
  <si>
    <t>TO PROVIDE A JACK TO CHANGE THE TIRES AND PREFORM MAINTENACE ON MIDVILLE POLICE DEPARTMENT ASSIGNED VEHICLES.</t>
  </si>
  <si>
    <t>2YTHQD52270283</t>
  </si>
  <si>
    <t xml:space="preserve">
Sales Order #: 2267889155
RTD Screening Code: DON
Reason for Rejection: YG</t>
  </si>
  <si>
    <t>REFLECTOR SET, HWY REQUESTED BY THE ATLANTIC BEACH PD, FOR USE BY ATLANTIC BEACH PD OFFICERS, TO PROVIDE VEHICLE TRAFFIC ABOUT LANE AND ROAD CLOSURES TO ALLOW ATLANTIC BEACH PD OFFICERS TO SAFELY WORK MOTOR VEHICLE ACCIDENTS.</t>
  </si>
  <si>
    <t>REFLECTOR SET,HIGHW</t>
  </si>
  <si>
    <t>2YTQD952340471</t>
  </si>
  <si>
    <t xml:space="preserve">
Sales Order #: 2274136720
RTD Screening Code: DOD
Reason for Rejection: YG</t>
  </si>
  <si>
    <t xml:space="preserve">
THE SCOTLAND COUNTY SHERIFF'S OFFICE IS LOOKING TO ADD A ROBOT TO ASSIST WITH OUR SWAT TEAM WITH TACTICAL AND SEARCH AND RESCUE OPERATIONS.  THE ADDITION OF THIS ITEM WILL GREATLY INCREASE OFFICER SAFETY DURING TACTICAL OPERATIONS AS WELL AS ASSIST OFFICERS WITH SEARCH AND RESCUE OPERATIONS.</t>
  </si>
  <si>
    <t>2YTKUK52480842</t>
  </si>
  <si>
    <t xml:space="preserve">
Sales Order #: 2274396638
RTD Screening Code: DOD
Reason for Rejection: YG</t>
  </si>
  <si>
    <t>2YTKUK52411140</t>
  </si>
  <si>
    <t xml:space="preserve">
Sales Order #: 2274669849
RTD Screening Code: GSA
Reason for Rejection: YH</t>
  </si>
  <si>
    <t>THESE BAGS WILL BE ISSUED TO AGENTS WHO DEPLOY WITH FEMA AS PART OF OUR ESF 13 TEAM</t>
  </si>
  <si>
    <t>2YTSXU52481423</t>
  </si>
  <si>
    <t xml:space="preserve">
Sales Order #: 2274949636
RTD Screening Code: DOD
Reason for Rejection: YG</t>
  </si>
  <si>
    <t>THE BRUNSWICK COUNTY SHERIFF'S OFFICE NEEDS THIS REQUISITIONING EQUIPMENT FOR COUNTER-DRUG-COUNTER-TERRORISM, AND SEARCH AND RESCUE OPERATIONS.</t>
  </si>
  <si>
    <t>2YTBMJ52411697</t>
  </si>
  <si>
    <t xml:space="preserve">
Sales Order #: 2274972163
RTD Screening Code: DOD
Reason for Rejection: YH</t>
  </si>
  <si>
    <t>TRAFFIC CONTROL BOARD WILL BE USED BY THE GREENE COUNTY SHERIFFS OFFICE TO ADVISE OF NEEDED INFORMATION TO THE MOTORING PUBLIC IN THE EVENT OF AN DISASTER OR EMERGENCY.</t>
  </si>
  <si>
    <t>2YTET652551760</t>
  </si>
  <si>
    <t xml:space="preserve">
Sales Order #: 2275503917
RTD Screening Code: DOD
Reason for Rejection: Y9</t>
  </si>
  <si>
    <t>2YT15D52622273</t>
  </si>
  <si>
    <t xml:space="preserve">
Sales Order #: 2275348841
RTD Screening Code: DOD
Reason for Rejection: YG</t>
  </si>
  <si>
    <t>ALPENA COUNTY SHERIFFS DEPARTMENT
FOR LAW ENFORCEMENT USE</t>
  </si>
  <si>
    <t>2YTAG352552328</t>
  </si>
  <si>
    <t xml:space="preserve">
Sales Order #: 2275729308
RTD Screening Code: GSA
Reason for Rejection: YG</t>
  </si>
  <si>
    <t>TO BE UTILIZED BY THE POLICE DEPARTMENT FOR THE STORAGE OF EMERGENCY EQUIPMENT, INCLUDING SIGNS, CONES, TRAFFIC BARRELS, DELINEATORS, CAUTION TAPE, AND ANY ADDITIONAL ITEMS THAT MUST REMAIN DRY AND EASILY ACCESSIBLE DURING EMERGENCIES.</t>
  </si>
  <si>
    <t>2YTNLY52552209</t>
  </si>
  <si>
    <t>THE TEXARKANA PD WILL USE TO EQUIP RAPID RESPONSE TEAMS FOR COUNTER TERRORISM AND ACTIVE SHOOTER INCIDENTS, IMPROVING GEAR ACCESSIBILITY, RESCUE CAPABILITIES AND TRAINING FOR LAW ENFORCEMENT ONLY.</t>
  </si>
  <si>
    <t>2YTLR852622764</t>
  </si>
  <si>
    <t>THE WILLACOOCHEE POLICE DEPARTMENT URGENTLY REQUIRES THREE ALL-TERRAIN VEHICLES TO ENHANCE OUR SEARCH AND RESCUE OPERATIONS FOR MISSING PERSONS. THESE VEHICLES ARE ESSENTIAL FOR NAVIGATING RUGGED TERRAINS AND REMOTE AREAS WHERE STANDARD POLICE VEHICLES CANNOT ACCESS.</t>
  </si>
  <si>
    <t>2YTNPQ52692985</t>
  </si>
  <si>
    <t>2YTNPQ52692984</t>
  </si>
  <si>
    <t>2YTNPQ52692982</t>
  </si>
  <si>
    <t>2YTNPQ52692981</t>
  </si>
  <si>
    <t>2YTNPQ52692980</t>
  </si>
  <si>
    <t>2YTNPQ52692979</t>
  </si>
  <si>
    <t>2YTNPQ52692978</t>
  </si>
  <si>
    <t>2YTNPQ52692977</t>
  </si>
  <si>
    <t>2YTNPQ52692975</t>
  </si>
  <si>
    <t>2YTNPQ52692974</t>
  </si>
  <si>
    <t>2YTNPQ52692973</t>
  </si>
  <si>
    <t>2YTNPQ52692972</t>
  </si>
  <si>
    <t>2YTNPQ52692971</t>
  </si>
  <si>
    <t>2YTNPQ52692969</t>
  </si>
  <si>
    <t>2YTNPQ52692967</t>
  </si>
  <si>
    <t>2YTNPQ52692963</t>
  </si>
  <si>
    <t>WEBB PD WILL USE BE USED FOR RESCUE OPERATIONS IN NATURAL DISASTERS.</t>
  </si>
  <si>
    <t>2YTRL452693064</t>
  </si>
  <si>
    <t>2YTRL452693063</t>
  </si>
  <si>
    <t>2YTRL452693062</t>
  </si>
  <si>
    <t>2YTRL452693061</t>
  </si>
  <si>
    <t>2YTRL452693060</t>
  </si>
  <si>
    <t>2YTRL452693059</t>
  </si>
  <si>
    <t>2YTRL452693058</t>
  </si>
  <si>
    <t>2YTRL452693057</t>
  </si>
  <si>
    <t>2YTRL452693056</t>
  </si>
  <si>
    <t>2YTRL452693054</t>
  </si>
  <si>
    <t>2YTRL452693053</t>
  </si>
  <si>
    <t>2YTRL452693051</t>
  </si>
  <si>
    <t>2YTRL452693049</t>
  </si>
  <si>
    <t>2YTRL452693048</t>
  </si>
  <si>
    <t>2YTRL452693046</t>
  </si>
  <si>
    <t>TPD REQUEST THIS ATV TO USE IN PATROLLING LARGE CROWD EVENTS IN PROTECTION FROM AND RESPONSE TO ACTS OF TERROR AND MASS CASUALTY. IT WILL ALSO BE USED FOR SEARCH AND RESCUE EVENTS.</t>
  </si>
  <si>
    <t>2YTL1552692912</t>
  </si>
  <si>
    <t>2YTL1552692911</t>
  </si>
  <si>
    <t>2YTL1552692910</t>
  </si>
  <si>
    <t>2YTL1552692908</t>
  </si>
  <si>
    <t>2YTL1552692905</t>
  </si>
  <si>
    <t>2YTL1552692903</t>
  </si>
  <si>
    <t>2YTL1552692901</t>
  </si>
  <si>
    <t>2YTL1552692899</t>
  </si>
  <si>
    <t>2YTL1552692897</t>
  </si>
  <si>
    <t>2YTL1552692896</t>
  </si>
  <si>
    <t>2YTL1552692895</t>
  </si>
  <si>
    <t>2YTL1552692886</t>
  </si>
  <si>
    <t>2YTL1552692881</t>
  </si>
  <si>
    <t>2YTL1552692880</t>
  </si>
  <si>
    <t>2YTL1552692877</t>
  </si>
  <si>
    <t>THIS VEHICLE IS NEEDED TO HELP AID THE TELLICO PLAINS POLICE DEPARTMENT WITH ANY NATURAL DISASTERS AND FLOODING IN THE AREA. TELLICO PLAINS POLICE DEPARTMENT ASSUMES ALL COST AND EXPENSES.</t>
  </si>
  <si>
    <t>2YTLRG52692859</t>
  </si>
  <si>
    <t>THIS ASSET WOULD BENEFIT THIS AGENCY AND OUR OFFICERS BY ALLOWING US TO UTILIZE THIS AS A DOWN TOWN PATROL VEHICLE AS WELL AS A SPECIAL EVENTS VEHICLE TO PATROL WHILE  IN BETWEEN AREAS THAT ARE NOT ACCESSIBLE BY PATROL CARS. WE CURRENTLY HAVE A PARTS VEHICLE THAT WE COULD USE TO REPAIR AND MAKE THIS USEABLE.</t>
  </si>
  <si>
    <t>2YTS0852693086</t>
  </si>
  <si>
    <t>THIS ASSET WOULD BENEFIT OUR AGENCY AND OFFICERS BY ALLOWING US TO UTILIZE THIS AS A WINTERTIME SEARCH AND RESCUE AND PATROL VEHICLE FOR OUR PARKS AS WELL AS OUR OFF ROAD AREAS THAT ARE HARD TO GET TO WE OULD REPAIR THIS VEHICLE WITH OUR CURRENTL ISSUE LESO RANGERS AND MAKE THIS ONE THE PRIMARY AND USE THE OTHERS FOR PARTS.</t>
  </si>
  <si>
    <t>2YTS0852693085</t>
  </si>
  <si>
    <t>THIS ITEM WILL BE USED EXCLUSIVELY BY LEOS FROM THIS LEA. THE ITEM WILL BE USED TO ASSIST OFFICERS IN RESPONDING TO EMERGENCIES ON THE BEACH THAT WILL INCLUDE MISSING PERSONS, SWIMMERS IN DISTRESS, MEDICAL CALLS, AND DISORDERLY CONDUCT COMPLAINTS.</t>
  </si>
  <si>
    <t>2YTK2052692937</t>
  </si>
  <si>
    <t>2YTK2052692936</t>
  </si>
  <si>
    <t>2YTK2052692934</t>
  </si>
  <si>
    <t>2YTK2052692932</t>
  </si>
  <si>
    <t>2YTK2052692931</t>
  </si>
  <si>
    <t>2YTK2052692930</t>
  </si>
  <si>
    <t>2YTK2052692928</t>
  </si>
  <si>
    <t>2YTK2052692927</t>
  </si>
  <si>
    <t>2YTK2052692926</t>
  </si>
  <si>
    <t>RCSO NEEDS THIS EQUIPMENT TO PATROL AND RESPOND TO INCIDENTS THAT ARE INACCESSIBLE TO TRADITIONAL PATROL VEHICLES.  THIS EQUIPMENT IS NEEDED DUE TO TOPOGRAPHICAL JURISDICTION AS WELL AS FOR LARGE GATHERINGS WHERE CURRENT PATROL VEHICLES CANNOT ACCESS.</t>
  </si>
  <si>
    <t>2YTJ7852692946</t>
  </si>
  <si>
    <t>RCSO NEEDS THIS EQUIPMENT TO PATROL AND RESPOND TO INCIDENTS THAT ARE INACCESSIBLE TO TRADITIONAL PATROL VEHICLES.  THIS EQUIPMENT IS NEEDED DUE TO THE TOPOGRAPHICAL JURISDICTION THAT CONSIST OF RURAL AND UNDERDEVELOPED AREAS OF THE COUNTY AS WELL AS LARGE GATHERINGS WHERE CURRENT VEHICLES CANNOT ACCESS.</t>
  </si>
  <si>
    <t>2YTJ7852692944</t>
  </si>
  <si>
    <t>TPWD LE DIVISION REQUEST THE ATV SIDE BY SIDE TO BE UTILIZED BY GAME WARDENS IN RURAL PATROL AREAS, EMERGENCY RESPONSE ACROSS THE STATE, AND ANY OTHER APPLICABLE LE USE.</t>
  </si>
  <si>
    <t>2YTL2652693000</t>
  </si>
  <si>
    <t>2YTL2652692998</t>
  </si>
  <si>
    <t>2YTL2652692997</t>
  </si>
  <si>
    <t>2YTL2652692995</t>
  </si>
  <si>
    <t>2YTL2652692994</t>
  </si>
  <si>
    <t>2YTL2652692992</t>
  </si>
  <si>
    <t>2YTL2652692991</t>
  </si>
  <si>
    <t>2YTL2652692990</t>
  </si>
  <si>
    <t>2YTL2652692989</t>
  </si>
  <si>
    <t>2YTL2652692988</t>
  </si>
  <si>
    <t>2YTL2652692987</t>
  </si>
  <si>
    <t>2YTL2652692986</t>
  </si>
  <si>
    <t>TPWD LE DIVISION REQUEST THE ATV FOR USE IN RURAL PATROL AREAS, PATROLLING WMAS, EMERGENCY RESPONSE, AND ANY OTHER APPLICABLE LE USE.</t>
  </si>
  <si>
    <t>2YTL2652692970</t>
  </si>
  <si>
    <t>2YTL2652692968</t>
  </si>
  <si>
    <t>2YTL2652692966</t>
  </si>
  <si>
    <t>THE OAKLAND COUNTY SHERIFFS OFFICE REQUESTS A POLARIS UTV TO ENHANCE MOBILITY DURING TACTICAL OPERATIONS, SEARCH AND RESCUE MISSIONS, COUNTER-UAS DEPLOYMENTS AT LARGE EVENTS, AND LAW ENFORCEMENT ACTIVITIES IN COUNTY PARKS. COVERING 900 SQUARE MILES, MANY AREAS ARE INACCESSIBLE TO STANDARD VEHICLES. OUR UNIT DOES NOT CURRENTLY HAVE A UTV AVAILABLE, LIMITING OUR ABILITY TO RAPIDLY DEPLOY PERSONNEL AND EQUIPMENT IN SUPPORT OF THE LAW ENFORCEMENT MISSION.</t>
  </si>
  <si>
    <t>2YT1WK52693018</t>
  </si>
  <si>
    <t>2YT1WK52693017</t>
  </si>
  <si>
    <t>2YT1WK52693016</t>
  </si>
  <si>
    <t>THE OAKLAND COUNTY SHERIFFS OFFICE REQUESTS A POLARIS UTV TO ENHANCE MOBILITY FOR TACTICAL RESPONSE, SEARCH AND RESCUE, RURAL OPERATIONS, AND COUNTER-UAS MISSIONS. COVERING 900 SQUARE MILES, MANY DEPLOYMENT AREAS ARE INACCESSIBLE TO STANDARD VEHICLES. A UTV PROVIDES RAPID MOVEMENT OF PERSONNEL, DRONES, AND DETECTION EQUIPMENT ACROSS DIFFICULT TERRAIN, IMPROVING SAFETY, RESPONSE TIMES, AND MISSION EFFECTIVENESS DURING CRITICAL INCIDENTS AND SPECIAL EVENTS.</t>
  </si>
  <si>
    <t>2YT1WK52693007</t>
  </si>
  <si>
    <t>2YT1WK52693006</t>
  </si>
  <si>
    <t>FOR USE BY ON DUTY OSD OFFICERS FOR PATROLLING AND RESPONDING TO COMPLAINTS IN RURAL AREAS IN THE COUNTY, TO INCLUDE THE STATE AND COUNTY PARK NETWORKS THAT CAN'T BE EASILY ACCESSED BY TRADITIONAL VEHICLES.</t>
  </si>
  <si>
    <t>2YT1WK52692983</t>
  </si>
  <si>
    <t>REQUESTED BY NORTH MYRTLE BEACH POLICE DEPARTMENT FOR USE BY NMB POLICE OFFICERS FOR USE ON THE 9 MILES OF BEACH WITHIN THE AGENCIES JURISDICTION.</t>
  </si>
  <si>
    <t>2YT1PG52692828</t>
  </si>
  <si>
    <t>2YT1PG52692826</t>
  </si>
  <si>
    <t>2YT1PG52692823</t>
  </si>
  <si>
    <t>2YT1PG52692821</t>
  </si>
  <si>
    <t>2YT1PG52692819</t>
  </si>
  <si>
    <t>2YT1PG52692817</t>
  </si>
  <si>
    <t>2YT1PG52692815</t>
  </si>
  <si>
    <t>2YT1PG52692813</t>
  </si>
  <si>
    <t>THIS ALL TERRAIN VEHICLE WILL BE USED BY PATROL OFFICERS WHEN WORKING AT THE FIRING RANGE, WORKING FESTIVALS, LARGE PUBLIC VENUES, AND WHEN SEARCHING LARGES AREAS FOR SUSPECTS OR MISSING PEOPLE.  WE ARE GREATLY IN NEED OF SOME ALL TERRAIN VEHICLES TO WORK THESE KINDS OF EVENTS THAT WE HAVE IN OUR JURISDICTION THROUGHOUT THE YEAR.  I HAVE CONTACTED THE BASE AND WE ARE SATISFIED WITH THE CONDITION OF THE VEHICLE.</t>
  </si>
  <si>
    <t>2YTHDF52693074</t>
  </si>
  <si>
    <t>2YTHDF52693073</t>
  </si>
  <si>
    <t>2YTHDF52693072</t>
  </si>
  <si>
    <t>2YTHDF52693071</t>
  </si>
  <si>
    <t>2YTHDF52693069</t>
  </si>
  <si>
    <t>2YTHDF52693040</t>
  </si>
  <si>
    <t>THE MADISONVILLE POLICE DEPARTMENT IS REQUESTING THIS ATV FOR USE BY OUR OFFICERS. OUR DEPARTMENT IS LOCATED IN A HIGH METH LAB RURAL MOUNTAINOUS AREA. THIS ATV WOULD GIVE OFFICERS ACCESS TO COMBAT AND CLEANUP THESE CAMPS WHEN THEY ARE LOCATED. DUE TO BUDGET CONSTRAINTS WE ARE CURRENTLY UNABLE TO PURCHASE MUCH NEEDED EQUIPMENT LIKE THIS ATV.</t>
  </si>
  <si>
    <t>2YTG5752692952</t>
  </si>
  <si>
    <t>2YTG5752692951</t>
  </si>
  <si>
    <t>THE ITEM IS REQUESTED BY THE LPD, FOR THE USE BY THE SWORN LEO'S. DURING LARGE SPECIAL EVENTS AND DURING WOODED OR RURAL SEARCH AND RESCUE, THESE TYPES OF VEHICLES ARE KEY TO ACCESSING VICTIMS TO PROVIDE FASTER LE ASSISTANCE AND LIFE-SAVING AID. BUDGETARY CONSTRAINTS DO NOT ALLOW FOR THE PURCHASE OF THESE ITEMS.</t>
  </si>
  <si>
    <t>2YTGXY52693002</t>
  </si>
  <si>
    <t>LORIS POLICE DEPARTMENT (2YTGXY)</t>
  </si>
  <si>
    <t>2YTGXY52693001</t>
  </si>
  <si>
    <t xml:space="preserve">THESE WOULD BE USED FOR LAW ENFORCEMENT COMMAND CENTER
</t>
  </si>
  <si>
    <t>2YTGAF52692993</t>
  </si>
  <si>
    <t xml:space="preserve">
THE HOWELL COUNTY SHERIFF'S OFFICE IS A LAW ENFORCEMENT AGENCY. HCSO WILL THIS UTILITY VEHICLE IN RESPONSE TO EMERGENCIES SUCH AS NATURAL DISASTERS, MISSING PERSONS, MANHUNTS. CRIME SCENES AND OTHER EMERGENCY SITUATIONS AS THEY ARISE. HCSO PATROLS 926 SQ MILES OF VERY RURAL??ROUGH TERRAIN. IN ADDITION, HCSO ALSO RESPONDS TO AND PATROLS OVER 50,000 ACRES OF STATE AND NATIONAL FORREST LAND WITHIN HOWELL COUNTY.??</t>
  </si>
  <si>
    <t>2YTFKX52692860</t>
  </si>
  <si>
    <t>2YTFKX52692856</t>
  </si>
  <si>
    <t>THIS ITEM WILL BE USED BY THIS AGENCY FOR OPERATIONS IN TERRAIN UNABLE TO BE ACCESSED BY NORMAL VEHICLES.  THESE OPERATIONS COULD INCLUDE BUT ARE NOT LIMITED LE SEARCH AND RESCUE MISSION, APPREHENDING CRIMINALS AT LARGE IN RUGGED AREAS, AND ASSISTING STATES AGENCIES SUCH AS GAME AND FISH IN WOODLAND AREAS AND CONDUCTION MARIJUANA GROW ERADICATION IN REMOTE AREAS.</t>
  </si>
  <si>
    <t>2YT0E752693050</t>
  </si>
  <si>
    <t>2YT0E752693044</t>
  </si>
  <si>
    <t>UTV WILL BE USED BY THE GREENE COUNTY SHERIFFS OFFICE FOR EMERGENCY RESPONSE OFF ROAD AND IN THE MOUNTAINS. THIS UNIT WILL REPLACE AN ATV WHICH ONLY CAN CARRY ONE PERSON SAFELY. THIS WILL ALLOW US TO CARRY MORE FIRST RESPONDERS TO THE SCENE OF AN INCIDENT. WE ARE RESPONSIBLE FOR 24 MILE OF THE APPALACHIAN TRAIL IN OUR COUNTY AND ACCIDENT DO HAPPEN ON THE TRAIL.</t>
  </si>
  <si>
    <t>2YTET652692869</t>
  </si>
  <si>
    <t>UTV WILL BE USED BY THE GREENE COUNTY SHERIFFS OFFICE FOR EMERGENCY RESPONSE OFF ROAD AND IN THE MOUNTAINS. THIS UNIT WILL REPLACE A TWO SEATER AND WILL ALLOW US TO CARRY MORE FIRST RESPONDERS TO THE SCENE OF AN INCIDENT.</t>
  </si>
  <si>
    <t>2YTET652692850</t>
  </si>
  <si>
    <t>DALE COUNTY SHERIFF'S OFFICE IS REQUESTING THIS ATV FOR OUT DEPUTIES TO USE FOR SEARCH AND RESCUE, AVIATION SUPPORT AND RURAL PATROL OPERATIONS.</t>
  </si>
  <si>
    <t>2YTC2852693047</t>
  </si>
  <si>
    <t>2YTC2852693045</t>
  </si>
  <si>
    <t>THE COFFEE COUNTY SHERIFF'S OFFICE WILL USE THE ALL-TERRAIN VEHICLE TO PATROL OFF ROAD AND RESPOND TO EMERGENCIES IN REMOTE AREAS THAT PATROL CARS WOULD NOT BE ABLE TO TRAVERSE. DEPUTIES WILL BE ABLE TO REACH VICTIMS FASTER WITH THE ALL-TERRAIN VEHICLE WHEN THERE IS ROUGH TERRAIN TO CROSS. DEPUTIES WILL ALSO USE THE ALL-TERRAIN VEHICLE DURING NATURAL DISASTERS, WHEN ROADS ARE FLOODED AND TREES ARE DOWN.</t>
  </si>
  <si>
    <t>2YTCMM52693038</t>
  </si>
  <si>
    <t>2YTCMM52693037</t>
  </si>
  <si>
    <t>2YTCMM52693036</t>
  </si>
  <si>
    <t>2YTCMM52693035</t>
  </si>
  <si>
    <t>2YTCMM52693034</t>
  </si>
  <si>
    <t>2YTCMM52693033</t>
  </si>
  <si>
    <t>2YTCMM52693032</t>
  </si>
  <si>
    <t>2YTCMM52693031</t>
  </si>
  <si>
    <t>2YTCMM52693030</t>
  </si>
  <si>
    <t>2YTCMM52693029</t>
  </si>
  <si>
    <t>2YTCMM52693028</t>
  </si>
  <si>
    <t>2YTCMM52693027</t>
  </si>
  <si>
    <t>2YTCMM52693026</t>
  </si>
  <si>
    <t>2YTCMM52693025</t>
  </si>
  <si>
    <t>THE COFFEE COUNTY SHERIFF'S OFFICE WILL USE THE ALL-TERRAIN VEHICLE TO PATROL OFF ROAD AND RESPOND TO EMERGENCIES IN REMOTE AREAS THAT PATROL CARS WOULD NOT BE ABLE TO TRAVERSE. DEPUTIES WOULD BE ABLE TO REACH VICTIMS FASTER WITH THE ALL-TERRAIN VEHICLE WHEN THERE IS ROUGH TERRAIN TO CROSS. DEPUTIES WOULD ALSO USE THE ALL-TERRAIN VEHICLE DURING NATURAL DISASTERS, WHEN ROADS ARE FLOODED AND TREES ARE DOWN.</t>
  </si>
  <si>
    <t>2YTCMM52693024</t>
  </si>
  <si>
    <t>OFFICERS WITH BRISTOL POLICE WOULD UTILIZE THIS AND THE OTHER ALL TERRAIN VEHICLES REQUESTED TO HELP OFFICERS RESPOND TO CAMPGROUNDS AND CITY PARK AREAS THAT AREN'T EASILY ACCESSIBLE BY PATROL VEHICLES TO HELP OFFICERS ANSWER CALLS FOR SERVICE. THE BASE STATES THESE RUN AND ARE OPERATIONAL.</t>
  </si>
  <si>
    <t>2YTBJQ52692935</t>
  </si>
  <si>
    <t>2YTBJQ52692878</t>
  </si>
  <si>
    <t>2YTBJQ52692873</t>
  </si>
  <si>
    <t>2YTBJQ52692866</t>
  </si>
  <si>
    <t>2YTBJQ52692861</t>
  </si>
  <si>
    <t>THE ATV WILL BE USED BY THE ARP POLICE DEPARTMENT FOR LAW ENFORCEMENT PURPOSES ONLY. THE CITY OF ARP HAS LARGE TRACTS OF FARMING LAND WITHIN THE CITY LIMITS. OFFICERS WILL USE THE ATV FOR SEARCHING FOR MISSING ADULTS WITH DEMENTIA, MISSING CHILDREN AND SUSPECTS. ARP PD WAS PREVIOUSLY AWARDED 2 ATVS THAT WERE TOO COSTLY TO REPAIR. WE ALSO JUST GOT AWARDED AN ATV THAT WILL BE TO COSTLY TO REPAIR.</t>
  </si>
  <si>
    <t>2YTANX52692960</t>
  </si>
  <si>
    <t>2YTANX52692958</t>
  </si>
  <si>
    <t>WE ARE IN NEED OF SOME ALL TERRAIN VEHICLE TO WORK LARGE PUBLIC VENUES SUCH AS FESTIVALS.  THIS WOULD ALSO BE USED BY PATROL OFFICERS WHEN SEARCHING FOR MISSING PERSONS AND EVADING OFFENDERS WHEN WORKING IN AREAS THAT PATROL CARS CAN'T GO.  THIS WOULD ALSO BE USED DURING RANGE TRAINING AND MAINTENANCE.
I HAVE CONTACTED THE BASE AND WE ARE SATISFIED WITH THE CONDITION OF THE VEHICLE.</t>
  </si>
  <si>
    <t>2YTHDF52693139</t>
  </si>
  <si>
    <t xml:space="preserve">THE FAYETTEVILLE POLICE DEPARTMENT REQUIRES A GENERATOR TO ENSURE UNINTERRUPTED POWER FOR CRITICAL LAW ENFORCEMENT OPERATIONS DURING EMERGENCIES. A GENERATOR WILL MAINTAIN COMMUNICATIONS SYSTEMS, DISPATCH, EVIDENCE STORAGE, AND COMMAND FUNCTIONS DURING POWER OUTAGES, ENABLING OFFICERS TO COORDINATE RESPONSE, PROTECT PUBLIC SAFETY, AND PROVIDE UNINTERRUPTED EMERGENCY SERVICES.
</t>
  </si>
  <si>
    <t>2YTD1D52693176</t>
  </si>
  <si>
    <t xml:space="preserve">
Sales Order #: 2274133066
RTD Screening Code: DOD
Reason for Rejection: YH</t>
  </si>
  <si>
    <t>THIS ASSET WOULD BENEFIT OUT OFFICER BY ALLOWING US TO TRANSPORT OUR POLICE UTV VEHICLES TO AND FROM AREAS THAT THEY ARE NEEDED SUCH AS SEARCH AND RESCUE INCIDENTS, DISASTER RESPONSE AREAS, OFF ROAD PARK AREAS OF OUR JURISDICTION AS WELL AS MUTUAL AID. THIS WOULD ALSO ALLOW TO TO BE ABLE TO TRANSPORT ITEMS THAT WE RECEIVE ON LESO. WE WOULD REPAIR AND REPLACE ITEMS ON THIS TRAILER TO MAKE IT USEABLE</t>
  </si>
  <si>
    <t>2YTS0852410727</t>
  </si>
  <si>
    <t xml:space="preserve">
Sales Order #: 2274140356
RTD Screening Code: DOD
Reason for Rejection: YH</t>
  </si>
  <si>
    <t>THE LAFAYETTE POLICE DEPARTMENT IS REQUESTING THIS ITEM TO BE USED BY OUR UNDERCOVER UNIT FOR SURVEILLANCE.  THIS ITEM WILL NOT BE BARTERED OR TRADED.  THIS ITEM WILL NOT BE SOLD FOR PERSONAL GAIN.  THIS ITEMS IS INTENDED FOR LAW ENFORCEMENT USE ONLY. I HAVE REACHED OUT TO THE LISTING AGENCY BUT HAVE NOT HEARD BACK YET.</t>
  </si>
  <si>
    <t>2YTGDX52411051</t>
  </si>
  <si>
    <t>LAFAYETTE POLICE DEPARTMENT (2YTGDX)</t>
  </si>
  <si>
    <t xml:space="preserve">
Sales Order #: 2274248914
RTD Screening Code: DOD
Reason for Rejection: YH</t>
  </si>
  <si>
    <t>THE LAFAYETTE POLICE DEPARTMENT IS REQUESTING THIS ITEM TO BE USED BY OUR UNDERCOVER UNIT FOR SURVEILLANCE.  THIS ITEM WILL NOT BE BARTERED OR TRADED.  THIS ITEM WILL NOT BE SOLD FOR PERSONAL GAIN.  THIS ITEMS IS INTENDED FOR LAW ENFORCEMENT USE ONLY.  I HAVE REACHED OUT TO THE LISTING AGENCY FOR AVAILABILITY BUT HAVE NOT HEARD BACK YET.</t>
  </si>
  <si>
    <t>2YTGDX52411050</t>
  </si>
  <si>
    <t xml:space="preserve">
Sales Order #: 2274224907
RTD Screening Code: DOD
Reason for Rejection: YH</t>
  </si>
  <si>
    <t>THE LAFAYETTE POLICE DEPARTMENT IS REQUESTING THIS ITEM TO BE USED BY OUR UNDERCOVER UNIT FOR SURVEILLANCE.  THIS ITEM WILL NOT BE BARTERED OR TRADED.  THIS ITEM WILL NOT BE SOLD FOR PERSONAL GAIN.  THIS ITEMS IS INTENDED FOR LAW ENFORCEMENT USE ONLY.  I HAVE REACHED OUT TO THE LISTING AGENCY BUT HAVE NOT HEARD BACK YET.</t>
  </si>
  <si>
    <t>2YTGDX52341052</t>
  </si>
  <si>
    <t xml:space="preserve">
Sales Order #: 2274343855
RTD Screening Code: DOD
Reason for Rejection: YH</t>
  </si>
  <si>
    <t>THE TUCSON POLICE DEPT IS SEEKING THIS CASE TO BE USED BY DETECTIVE UNITS TO STORE ITEMS USED IN INVESTIGATIONS AND EVIDENCE GATHERING AND PROCESSING.</t>
  </si>
  <si>
    <t>2YTLZ852411159</t>
  </si>
  <si>
    <t xml:space="preserve">
Sales Order #: 2274396642
RTD Screening Code: DOD
Reason for Rejection: YH</t>
  </si>
  <si>
    <t>AS A RURAL POLICE DEPARTMENT WITH LIMITED BUDGETING RESOURCES, THIS VEHICLE WOULD HELP SUPPORT OUR DEPARTMENT IN UNDERCOVER OPERATIONS AS WELL AS IN PROVIDING A VEHICLE THAT CAN BE USED IN OFF DUTY TRANSPORT SITUATIONS.</t>
  </si>
  <si>
    <t>2YTD1D52411110</t>
  </si>
  <si>
    <t>MOULTON POLICE WOULD LIKE TO ACQUIRE THIS ITEM FOR THE PURPOSE OF STORING EQUIPMENT, SPECIFICALLY GENERATORS.</t>
  </si>
  <si>
    <t>2YTQP852341271</t>
  </si>
  <si>
    <t>THE LEVEL PLAINS POLICE DEPT WOULD UTILIZE THIS TO POWER OUR BUILDING AND EQUIPTMENT DURING POWER OUTAGES AND DURING NATURAL DISASTERS.</t>
  </si>
  <si>
    <t>2YTRNR52341279</t>
  </si>
  <si>
    <t xml:space="preserve">
Sales Order #: 2274597809
RTD Screening Code: GSA
Reason for Rejection: Z2</t>
  </si>
  <si>
    <t>OUR AGENCY NEEDS THIS EQUIPMENT. FOR USE BY REQUESTING AGENCY FOR LAW ENFORCEMENT PURPOSES ONLY. THIS EQUIPMENT WILL BE ISSUED TO POLICE OFFICERS FOR USE IN GENERAL POLICE INFORMATION POSTINGS AND AS GENERAL MAINTENANCE OR REPAIR SITUATIONS.</t>
  </si>
  <si>
    <t>2YTHYA52481364</t>
  </si>
  <si>
    <t xml:space="preserve">
Sales Order #: 2275500909
RTD Screening Code: DOD
Reason for Rejection: Y9</t>
  </si>
  <si>
    <t>2YTN4N52622386</t>
  </si>
  <si>
    <t xml:space="preserve">
Sales Order #: 2275996649
RTD Screening Code: DOD
Reason for Rejection: Y9</t>
  </si>
  <si>
    <t>THIS ASSET WOULD BENEFIT THIS AGENCY AND ITS OFFICERS BY ALLOWING US TO UTILIZE THIS AS A PICKUP VEHICLE FOR LESO PICKUPS AS WELL AS A STORAGE AND SETUP VEHICLE FOR CHILD PASSENGER SAFETY CHECKPOINTS TO STORE AND SETUP ITEMS NEEDED FOR SUCH CHECKPOINT. WE WOULD REPAIR THIS VEHICLE AS NECESSARY TO MAKE IT WORK.</t>
  </si>
  <si>
    <t>2YTS0852693088</t>
  </si>
  <si>
    <t xml:space="preserve">
Sales Order #: 2275996632
RTD Screening Code: DOD
Reason for Rejection: Y9</t>
  </si>
  <si>
    <t xml:space="preserve">
THE HOWELL COUNTY SHERIFF'S OFFICE IS A LAW ENFORCEMENT AGENCY. THIS TRAILER WILL REPLACE A TRAILER THAT HAS BEEN DAMAGED. HCSO WILL USE THIS TRAILER IN TO TRANSPORT UTILITY VEHICLES RESPONSE TO EMERGENCIES SUCH AS NATURAL DISASTERS, MISSING PERSONS, MANHUNTS. CRIME SCENES AND OTHER EMERGENCY SITUATIONS AS THEY ARISE. HCSO PATROLS 926 SQ MILES OF VERY RURAL??ROUGH TERRAIN. IN ADDITION, HCSO ALSO RESPONDS TO AND PATROLS OVER 50,000 ACRES OF STATE AND NATIONAL FORREST LAND WITHIN HOWELL COUNTY.??</t>
  </si>
  <si>
    <t>2YTFKX52692834</t>
  </si>
  <si>
    <t>THIS WILL BE USED BY LAW ENFORCEMENT PERSONNEL AT THE JEFFERSON COUNTY SHERIFF'S OFFICE IN THE K9 DIVISION. IT WOULD BE USED WITH TRACKING DOGS THAT ARE USED IN RURAL AREAS TO FIND DEMENTIA PATIENTS, RUNAWAYS, AND CRIMINALS THAT FLEE INTO WOODED AREAS. THIS WOULD REDUCE EXHAUSTION TO K9'S BY GETTING THEM TO AND FROM TRACKS. ESPECIALLY ON HOT DAYS</t>
  </si>
  <si>
    <t>2YTFX452693136</t>
  </si>
  <si>
    <t>THIS WILL BE ASSIGNED TO LAW ENFORCEMENT INVESTIGATIONS FOR DAILY USE DURING THEIR NORMAL WORK HOURS.</t>
  </si>
  <si>
    <t>2YTNUS52623314</t>
  </si>
  <si>
    <t>THE OSAGE COUNTY SHERIFF'S OFFICE WILL USE THIS VEHICLE TO REPLACE CURRENT SEARCH AND RESCUE VEHICLE. THE OLD ONE HAS TIMED OUT AND NEEDS TO BE REPLACED. THIS VEHICLE WILL BE A PERFECT FIT. IT WOULD ENHANCE THE SHERIFF'S OFFICE OPERATIONS.</t>
  </si>
  <si>
    <t>2YT16P52623346</t>
  </si>
  <si>
    <t>LAWRENCE COUNTY DETECTIVES WILL USE THIS VEHICLE FOR DAILY OPERATIONS AND TRANSPORTATION OF PERSONNEL.</t>
  </si>
  <si>
    <t>2YTP4J52623352</t>
  </si>
  <si>
    <t>THE FULTON COUNTY SHERIFFS OFFICE IS REQUESTING THIS SUV SO DEPUTIES CAN UTILIZE IT AS A RAPID RESPONSE MOBILE COMMAND. THIS BE USED BY OUR SPECIAL RESPONSE TEAM TO RUN EMERGENCY OPERATIONS.</t>
  </si>
  <si>
    <t>2YTEED52623298</t>
  </si>
  <si>
    <t xml:space="preserve">
Sales Order #: 2270890540
RTD Screening Code: DOD
Reason for Rejection: YG</t>
  </si>
  <si>
    <t>REQUESTING AGENCY HAS CONFIRMED WITH THE DLA DS LOCATION REGARDING THE LISTED ITEM CONDITION AND IS SATISFIED THAT THE ITEM REQUESTED IS OF OPERATIONAL AND OR SERVICEABLE CONDITION. PFDS WILL BE USED BY AGENCY PERSONNEL DURING HIGH RISK LAW ENFORCEMENT INCIDENTS SUCH AS SEARCH AND RESCUE AND TRAININGS IN AND AROUND WATER AND PROVIDE VITAL PROTECTION TO USERS BY PREVENTING DROWNINGS.</t>
  </si>
  <si>
    <t>2YTPUC52068440</t>
  </si>
  <si>
    <t xml:space="preserve">
Sales Order #: 2275764340
RTD Screening Code: DOD
Reason for Rejection: Y9</t>
  </si>
  <si>
    <t xml:space="preserve">OUR AGENCY NEEDS THIS EQUIPMENT.  WILL BE USED BY REQUESTING AGENCY FOR LAW ENFORCEMENT PURPOSES ONLY.  WILL BE ISSUED TO POLICE OFFICERS AND DEPARTMENT OFFICE STAFF FOR NOTATIONS AND MARKING EQUIPMENT.
</t>
  </si>
  <si>
    <t>2YTHYA52622666</t>
  </si>
  <si>
    <t xml:space="preserve">
Sales Order #: 2275726699
RTD Screening Code: DOD
Reason for Rejection: YH</t>
  </si>
  <si>
    <t>FOR USE BY THIS LEA ONLY. TO BE USED BY THE LEOS OF THIS AGENCY. THIS BUS WILL BE UTILIZED FOR TRANSPORTING PERSONNEL DURING LAW ENFORCEMENT OPERATIONS, TRAINING, SPECIAL EVENTS, AND CRITICAL INCIDENT RESPONSES.</t>
  </si>
  <si>
    <t>2YTEY452552697</t>
  </si>
  <si>
    <t xml:space="preserve">
Sales Order #: 2274483636
RTD Screening Code: DOD
Reason for Rejection: Y9</t>
  </si>
  <si>
    <t>OUR AGENCY NEEDS THIS EQUIPMENT.  WILL BE USED BY REQUESTING AGENCY FOR LAW ENFORCEMENT PURPOSES ONLY.  WILL BE ISSUED TO POLICE OFFICERS - SWAT MEMBERS FOR DUTY USE WHILE OPERATING AND TRAINING IN WOODLAND ENVIRONMENTS.</t>
  </si>
  <si>
    <t>2YTHYA52693004</t>
  </si>
  <si>
    <t xml:space="preserve">
Sales Order #: 2274483666
RTD Screening Code: DOD
Reason for Rejection: Y9</t>
  </si>
  <si>
    <t>TO BE UTILIZED BY THE LAKEVILLE POLICE DEPARTMENT AND ISSUED TO OFFICERS TO TELL ACCURATE TIME AND ATTAIN DIRECTION DURING CRIMINAL INVESTIGATIONS AND SEARCHES AS WELL AS PATROL DUTIES.</t>
  </si>
  <si>
    <t>2YTGG752693103</t>
  </si>
  <si>
    <t xml:space="preserve">
Sales Order #: 2274483633
RTD Screening Code: DOD
Reason for Rejection: Y9</t>
  </si>
  <si>
    <t>TO BE UTILIZED BY THE LAKEVILLE POLICE DEPARTMENT AND ISSUED TO OFFICERS TO TELL ACCURATE TIME DURING CRIMINAL INVESTIGATIONS AND PATROL DUTIES.</t>
  </si>
  <si>
    <t>2YTGG752693098</t>
  </si>
  <si>
    <t>RED DOT SIGHTS ENHANCE DEPUTY ACCURACY AND SPEED IN HIGH-STRESS SITUATIONS, ESPECIALLY LOW LIGHT OR DYNAMIC ENCOUNTERS. THEY IMPROVE TARGET ACQUISITION, REDUCE RISK OF MISSED SHOTS, AND INCREASE OVERALL OFFICER AND PUBLIC SAFETY. FOR THE SRT, RED DOTS ARE CRITICAL FOR PRECISION IN OPERATIONS.</t>
  </si>
  <si>
    <t>2YTFKS52623092</t>
  </si>
  <si>
    <t xml:space="preserve">
Sales Order #: 2274423657
RTD Screening Code: DOD
Reason for Rejection: BQ</t>
  </si>
  <si>
    <t>THIS ITEM IS BEING REQUESTED BY THE SCREVEN COUNTY SHERIFF'S OFFICE TO BE USED BY DEPUTIES FOR LAW ENFORCEMENT PURPOSES. THE REQUESTED SCUBA BOOTS WILL BE UTILIZED BY DEPUTIES FOR UNDER WATER SEARCH AND RESCUE OPERATIONS FOR PERSONS AND OBJECTS AS WELL AS TRAINING.</t>
  </si>
  <si>
    <t>BOOTS,DIVERS'</t>
  </si>
  <si>
    <t>2YTKVK52693215</t>
  </si>
  <si>
    <t>SCREVEN COUNTY SHERIFFS OFFICE (2YTKVK)</t>
  </si>
  <si>
    <t xml:space="preserve">
Sales Order #: 2275996609
RTD Screening Code: DOD
Reason for Rejection: Y9</t>
  </si>
  <si>
    <t>THESE ITEMS WOULD BE USED BY THE ORANGE COUNTY SHERIFF'S DEPARTMENT. THESE ITEMS COULD BE ISSUED TO OUR MUTUAL AID AND SEARCH AND RESCUE DIVISIONS. THE ITEMS COULD BE USED TO CONCEAL GEAR, EQUIPMENT OR OTHER ITEMS AT COMMAND POST OR OTHER MEETING SITES DURING CALL OUTS, CIVIL UNREST ACTIVITIES OR OTHER FIELD DEPLOYMENTS. SEARCH AND RESCUE COULD USE THE ITEMS DURING TRAINING, SEARCHES, CALL OUTS AND OTHER DEPLOYMENTS IN OUR REMOTE TERRAIN LOCATIONS</t>
  </si>
  <si>
    <t>2YT14Z52693208</t>
  </si>
  <si>
    <t xml:space="preserve">
Sales Order #: 2275996650
RTD Screening Code: DOD
Reason for Rejection: Y9</t>
  </si>
  <si>
    <t>2YT14Z52693207</t>
  </si>
  <si>
    <t xml:space="preserve">
Sales Order #: 2274423663
RTD Screening Code: DOD
Reason for Rejection: Y9</t>
  </si>
  <si>
    <t>OUR AGENCY NEEDS THIS EQUIPMENT.  WILL BE USED BY REQUESTING AGENCY FOR LAW ENFORCEMENT PURPOSES ONLY.  WILL BE ISSUED TO POLICE OFFICERS FOR DAILY TASKS. WILL COORDINATE SHIPPING TO OUR AGENCY WHEN REQUISITION IS APPROVED.</t>
  </si>
  <si>
    <t>2YTHYA52693289</t>
  </si>
  <si>
    <t xml:space="preserve">
Sales Order #: 2274423651
RTD Screening Code: DOD
Reason for Rejection: Y9</t>
  </si>
  <si>
    <t>2YTHYA52693288</t>
  </si>
  <si>
    <t>I AM REQUESTING 15 TRIJICON REFLEX SIGHTS FOR THE SIOUX FALLS POLICE DEPT TRAINING DIVISION TO BE UTILIZED IN TRAINING FOR SWAT, COUNTER DRUG, COUNTER TERRORISM, SOFT TARGET, AND DIGNITARY PROTECTION, AS WELL AS COMMUNITY SAFETY MISSIONS SUCH AS PATROL, VIOLENT CRIMINAL APPREHENSION, HOSTAGE RESCUE, SEARCH AND RESCUE AND OTHER LAW ENFORCEMENT ROLES. I HAVE EMAILED REPRESENTATIVES FROM DLA RILEY AND HAVE ALSO VIEWED MULTIPLE PHOTOS AND I AM SATISFIED WITH THE ITEMS CONDITION.</t>
  </si>
  <si>
    <t>2YTK4H52623312</t>
  </si>
  <si>
    <t>SIOUX FALLS POLICE DEPT (2YTK4H)</t>
  </si>
  <si>
    <t>REQUESTED BY SCDPS TO BE USED BY SCDPS LAW ENFORCEMENT OFFICERS ASSIGNED TO THE SPECIAL OPERATIONS UNIT AS A WATCH.</t>
  </si>
  <si>
    <t>2YTKTF52693311</t>
  </si>
  <si>
    <t>FOR USE BY ON DUTY OFFICERS OF THE LANSING POLICE DEPARTMENT TO INCREASE FIREARM ACCURACY. CONTACT HAS BEEN MADE WITH LOCATION TO VERIFY PROPERTY CONDITION.</t>
  </si>
  <si>
    <t>2YTPER52623363</t>
  </si>
  <si>
    <t>FOR USE BY ON DUTY OFFICERS OF THE LANSING POLICE DEPARTMENT TO INCREASE FIREARM ACCURACY. CONTACT HAS BEEN MADE WITH LOCATION TO VERIFY CONDITION.</t>
  </si>
  <si>
    <t>2YTPER52623362</t>
  </si>
  <si>
    <t>FEDERAL SCREENER FOR DIVISION WITH 200 LAW ENFORCEMENT AGENTS TO INCLUDE 19 SWAT OPERATORS.  WATCH HAD GPS AND MAP CAPABILITY THAT CAN BE USED FOR SWAT OPERATIONS AND NAVIGATION.</t>
  </si>
  <si>
    <t>2YTQY152693365</t>
  </si>
  <si>
    <t xml:space="preserve">FEDERAL SCREENER FOR DIVISION WITH 200 LAW ENFORCEMENT AGENTS TO INCLUDE 19 SWAT OPERATORS.  WATCH HAD GPS AND MAP CAPABILITY THAT CAN BE USED FOR SWAT OPERATIONS AND NAVIGATION.
</t>
  </si>
  <si>
    <t>2YTQY152693364</t>
  </si>
  <si>
    <t xml:space="preserve">
Sales Order #: 2274489053
RTD Screening Code: DOD
Reason for Rejection: Y9</t>
  </si>
  <si>
    <t>THE BRISTOL POLICE DEPARTMENT WOULD UTILIZE THIS VEHICLE FOR OUR EVIDENCE TECHNICIAN TO RESPOND TO CRIME SCENES AND TRANSPORT EVIDENCE TO THE CRIME LAB. WE HAVE PREVIOUSLY PUT IN FOR THIS VEHICLE WHICH WAS APPROVED BUT TAKEN ON A HIGH PRIORITY ORDER BUT IS SHOWING AVAILABLE AGAIN. WE ARE IN DESPERATE NEED OF THIS VEHICLE. THE BASES STATES IT RUNS AND IS OPERATIONAL.</t>
  </si>
  <si>
    <t>2YTBJQ52623306</t>
  </si>
  <si>
    <t xml:space="preserve">
Sales Order #: 2274419677
RTD Screening Code: DOD
Reason for Rejection: Y9</t>
  </si>
  <si>
    <t>THE BELLA VISTA POLICE DEPARTMENT WOULD UTILIZE THIS VEHICLE FOR MOVING LAW ENFORCEMENT EQUIPMENT AND PERSONNEL. THIS EQUIPMENT WILL BE USED FOR LAW ENFORCEMENT PURPOSES ONLY.</t>
  </si>
  <si>
    <t>2YTA2S52623328</t>
  </si>
  <si>
    <t xml:space="preserve">
Sales Order #: 2274138036
RTD Screening Code: DOD
Reason for Rejection: YH</t>
  </si>
  <si>
    <t>THE SCOTLAND COUNTY SHERIFF'S OFFICE IS LOOKING TO ADD A TACTICAL ROBOT TOO ASSIST WITH OUR SWAT TEAM AND FOR SEARCH AND RESCUE OPERATIONS.  THE ADDITION OF THIS ITEM WILL GREATLY INCREASE OFFICER SAFETY DURING TACTICAL OPERATIONS AS WELL ASSIST DURING SEARCH AND RESCUE OPERATIONS.</t>
  </si>
  <si>
    <t>2YTKUK52340641</t>
  </si>
  <si>
    <t xml:space="preserve">
Sales Order #: 2274133080
RTD Screening Code: DOD
Reason for Rejection: YH</t>
  </si>
  <si>
    <t>THIS ASSET WOULD BENEFIT THIS AGENCY AND OFFICERS BY ALLOWING US TO UTILIZE THIS TO LOAD, UNLOAD, AND ORGANIZE OUR GARAGE AREA. THIS ASSET WOULD INCREASE OUR OFFICERS EFFICIENCY IN DOING THESE TASKS. WE WOULD REPAIR THIS ASSET IF NEEDED</t>
  </si>
  <si>
    <t>2YTS0852410782</t>
  </si>
  <si>
    <t xml:space="preserve">
Sales Order #: 2275629786
RTD Screening Code: DOD
Reason for Rejection: Y9</t>
  </si>
  <si>
    <t>WILL BE ISSUED TO SWAT AND BOMB UNITS TO PROTECT DEPUTIES DURING OPERATIONS THAT MAY HAVE THE POTENTIAL OF FIRE</t>
  </si>
  <si>
    <t>DRAWERS,FLAME RESIS</t>
  </si>
  <si>
    <t>2YTLK552622381</t>
  </si>
  <si>
    <t xml:space="preserve">
Sales Order #: 2275560576
RTD Screening Code: DOD
Reason for Rejection: Y9</t>
  </si>
  <si>
    <t>2YTLK552622380</t>
  </si>
  <si>
    <t xml:space="preserve">
Sales Order #: 2275769024
RTD Screening Code: RTD2
Reason for Rejection: YH</t>
  </si>
  <si>
    <t>A FORKLIFT IS ESSENTIAL FOR LAW ENFORCEMENT USE ONLY, PROVIDING SAFE HANDLING AND MOVEMENT OF HEAVY EQUIPMENT, BARRICADES, TRAINING AIDS, AND BULK SUPPLIES. IT INCREASES EFFICIENCY IN TRAINING AND OPERATIONAL READINESS, SUPPORTS RAPID DEPLOYMENT OF RESOURCES FOR INTERDICTION OR CRITICAL INCIDENTS, AND ENSURES SAFE MANAGEMENT OF SPECIALIZED EQUIPMENT VITAL TO COUNTER-TERRORISM AND EMERGENCY RESPONSE OPERATIONS.</t>
  </si>
  <si>
    <t>2YTLR852552707</t>
  </si>
  <si>
    <t xml:space="preserve">
Sales Order #: 2275996656
RTD Screening Code: DOD
Reason for Rejection: Y9</t>
  </si>
  <si>
    <t>TPWD LE DIVISION REQUEST THE HEAVY-DUTY FORKLIFT FOR LIFTING CONTAINERS ON AND OFF TRAILERS FOR SHIPPING SUPPLIES, FOR LIFTING VESSELS OF TRAILERS FOR MAINTENANCE, AND ANY OTHER APPLICABLE USE.</t>
  </si>
  <si>
    <t>2YTL2652692947</t>
  </si>
  <si>
    <t xml:space="preserve">
Sales Order #: 2275996666
RTD Screening Code: DOD
Reason for Rejection: Y9</t>
  </si>
  <si>
    <t>TO BE UTILIZED BY THE LAKEVILLE POLICE DEPARTMENT AND ISSUED TO OFFICERS TO BE QUICKLY PULLED OVER THE DUTY UNIFORM DURING CRIMINAL INVESTIGATIONS AND SEARCHES TO PROTECT AGAINST BRUSH AND WET WEATHER CONDITIONS</t>
  </si>
  <si>
    <t>2YTGG752693108</t>
  </si>
  <si>
    <t xml:space="preserve">
Sales Order #: 2274483648
RTD Screening Code: DOD
Reason for Rejection: Y9</t>
  </si>
  <si>
    <t>2YTGG752693097</t>
  </si>
  <si>
    <t xml:space="preserve">
Sales Order #: 2274483658
RTD Screening Code: DOD
Reason for Rejection: Y9</t>
  </si>
  <si>
    <t>2YTGG752693096</t>
  </si>
  <si>
    <t xml:space="preserve">
Sales Order #: 2275996624
RTD Screening Code: DOD
Reason for Rejection: Y9</t>
  </si>
  <si>
    <t>FORKLIFT WILL BE USED BY HOUSTON POLICE OFFICERS IN THE PORT PATROL UNIT TO REPLACE THEIR INOPERATIVE FORKLIFT USED TO REMOVE THEIR HOUSTON POLICE PATROL BOATS FROM THEIR TRAILERS FOR HULL CLEANING AND BOTTOM REPAIRS.</t>
  </si>
  <si>
    <t>2YTFKH52692835</t>
  </si>
  <si>
    <t xml:space="preserve">
Sales Order #: 2275996617
RTD Screening Code: DOD
Reason for Rejection: Y9</t>
  </si>
  <si>
    <t>DEFIBRILLATOR WILL BE ISSUED TO OFFICERS OF THE GREENE COUNTY SHERIFFS OFFICE TO CARRY IN THEIR VEHICLES SHOULD THEY COME UP ON SOMEONE WHO IS HAVING A HEART ATTACK. THIS WILL ALLOW THEM TO PERFORM LIFE SAFETY MEASURES TILL AN AMBULANCE ARRIVES.</t>
  </si>
  <si>
    <t>2YTET652692925</t>
  </si>
  <si>
    <t xml:space="preserve">
Sales Order #: 2274483659
RTD Screening Code: DOD
Reason for Rejection: Y9</t>
  </si>
  <si>
    <t>THE BRISTOL TENNESSEE POLICE DEPARTMENT WOULD UTILIZE THIS TRACTOR TO MOW OUR RANGE AREA. IT WOULD BE OPERATED BY POLICE PERSONNEL AND THE BASE STATES IT RUNS.</t>
  </si>
  <si>
    <t>2YTBJQ52692848</t>
  </si>
  <si>
    <t xml:space="preserve">
Sales Order #: 2275996625
RTD Screening Code: DOD
Reason for Rejection: Y9</t>
  </si>
  <si>
    <t>THE FORKLIFT WILL BE USED BY THE ARP POLICE DEPARTMENT FOR LAW ENFORCEMENT PURPOSES ONLY. ARP PD WILL USE THE FORKLIFT TO MOVE LESO AWARDED EQUIPMENT AND PD PURCHASED EQUIPMENT.</t>
  </si>
  <si>
    <t>2YTANX52692900</t>
  </si>
  <si>
    <t xml:space="preserve">
Sales Order #: 2274483644
RTD Screening Code: DOD
Reason for Rejection: Y9</t>
  </si>
  <si>
    <t>OUR AGENCY NEEDS THIS EQUIPMENT.  WILL BE USED BY REQUESTING AGENCY FOR LAW ENFORCEMENT PURPOSES ONLY.  WILL BE ISSUED TO POLICE OFFICERS AND DEPARTMENT OFFICE STAFF FOR DAILY WRITING TASKS AND DOCUMENTING INFORMATION.</t>
  </si>
  <si>
    <t>2YTHYA52693164</t>
  </si>
  <si>
    <t xml:space="preserve">
Sales Order #: 2275996674
RTD Screening Code: DOD
Reason for Rejection: Y9</t>
  </si>
  <si>
    <t>THE TEHAMA COUNTY SHERIFF'S OFFICE WILL USE 	WRENCH,BOX AND OPEN END,COMBINATION AS TOOLS TO FIX AND MAINTAIN PATROL UNITS AT THE SHERIFF'S AUTO SHOP AND PATROL BOATS AT THE BOATING STORAGE FACILITY.  THE SHERIFF'S OFFICE IS PUTTING TOGETHER TOOL KITS FOR EACH PATROL VEHICLE, EMERGENCY RESPONSE VEHICLE AND INVESTIGATIVE UNIT FOR ROADSIDE USE AND EVIDENCE COLLECTION.</t>
  </si>
  <si>
    <t>2YTLQ752623235</t>
  </si>
  <si>
    <t xml:space="preserve">
Sales Order #: 2275996684
RTD Screening Code: DOD
Reason for Rejection: Y9</t>
  </si>
  <si>
    <t>VIRGINIA STATE POLICE IS A STATE LAW ENFORCEMENT AGENCY THAT IS SEEKING PROPERTY TO BE USED BY SWORN OFFICERS IN UNDERCOVER WORK AND OTHER SITUATIONS WHERE THIS TYPE OF PICKUP TRUCK WOULD BE USEFUL SUCH AS HAULING OF SMALL EQUIPMENT FROM WITHIN OUR AGENCY.</t>
  </si>
  <si>
    <t>2YTMXW52693187</t>
  </si>
  <si>
    <t xml:space="preserve">
Sales Order #: 2274226366
RTD Screening Code: DOD
Reason for Rejection: Y9</t>
  </si>
  <si>
    <t>RCSO NEEDS THIS EQUIPMENT TO BOLSTER DISASTER RELATED EMERGENCY RESPONSE AND PREPAREDNESS.  THE TOPOGRAPHY OF THE JUSRIDICTION FOR RCSO REQUIRES THIS EQUIPMENT FOR ROUGH TERRAIN AND OFF ROAD CAPABILITY FOR FLOOD PRONE AREAS.</t>
  </si>
  <si>
    <t>2YTJ7852693245</t>
  </si>
  <si>
    <t xml:space="preserve">
Sales Order #: 2275755988
RTD Screening Code: DOD
Reason for Rejection: Y9</t>
  </si>
  <si>
    <t>TO BE USED TO PULL POLICE DEPARTMENT COMMAND POST AND TO BE USED IN INCLEMENT WEATHER WHERE 2 WHEEL DRIVE VEHICLES WOULD NOT BE ABLE TO RESPOND.</t>
  </si>
  <si>
    <t>2YTJ1252693229</t>
  </si>
  <si>
    <t xml:space="preserve">
Sales Order #: 2274423664
RTD Screening Code: DOD
Reason for Rejection: Y9</t>
  </si>
  <si>
    <t>2YTHYA52693290</t>
  </si>
  <si>
    <t xml:space="preserve">
Sales Order #: 2274226371
RTD Screening Code: DOD
Reason for Rejection: Y9</t>
  </si>
  <si>
    <t>ALPENA COUNTY SHERIFFS DEPARTMENT
WOULD BE USED TO MOVE EQUIPMENT ADD A LOADER AND MOVE SNOW.</t>
  </si>
  <si>
    <t>2YTAG352693261</t>
  </si>
  <si>
    <t xml:space="preserve">
Sales Order #: 2274226364
RTD Screening Code: DOD
Reason for Rejection: Y9</t>
  </si>
  <si>
    <t>ALPENA COUNTY SHERIFF'S DEPARTMENT  
WILL BE USED TO MOVE EQUIPMENT</t>
  </si>
  <si>
    <t>2YTAG352693211</t>
  </si>
  <si>
    <t>NORWALK POLICE DEPARTMENT WOULD USE THIS TO ACCESS DIFFICULT CRIME SCENES TO PRESERVE THE INTEGRITY OF THE SCENE. IT WOULD ALSO ASSIST IN STORAGE OF FILES ABOVE THE POLICE STORAGE GARAGE.</t>
  </si>
  <si>
    <t>2YTQZD52693412</t>
  </si>
  <si>
    <t>LTPD IS REQUESTING THIS HMMWV TO ENHANCE OPERATIONAL CAPABILITIES AND RESPONSE TO INCIDENTS INVOLVING SEVERE WEATHER, DISASTERS, BARRICADES, HOSTAGE RESCUE, SEARCH AND RESCUE, DRUG AND SWAT INCIDENTS.  THIS HMMV IS UNIQUELY SUITED TO PROVIDE RELIABLE TRANSPORTATION TO CHALLENGING TERRAIN AND HIGH-RISK INCIDENTS CONVENTIONAL VEHICLES CANT. THIS HMMWV ENHANCES OUR COMMITMENT TO PUBLIC SAFETY, PREPAREDNESS, AND ENSURING THE SUPPORT OF OUR COMMUNITY AND PARTNERS DURING TIMES OF CRISIS.</t>
  </si>
  <si>
    <t>2YTGV952623472</t>
  </si>
  <si>
    <t xml:space="preserve">
Sales Order #: 2276320619
RTD Screening Code: RTD2
Reason for Rejection: Y9</t>
  </si>
  <si>
    <t>2YTLR852613554</t>
  </si>
  <si>
    <t xml:space="preserve">
Sales Order #: 2274141278
RTD Screening Code: RTD2
Reason for Rejection: YG</t>
  </si>
  <si>
    <t>FOR THE PROSPECT POLICE DEPT TO ISSUE TO K9 HANDLER TO WEAR FOR TRAINING IN INCLEMENT WEATHER.</t>
  </si>
  <si>
    <t>2YTJYC52340651</t>
  </si>
  <si>
    <t xml:space="preserve">
Sales Order #: 2274248910
RTD Screening Code: RTD2
Reason for Rejection: YG</t>
  </si>
  <si>
    <t>FOR THE PROSPECT POLICE DEPT TO ISSUE TO K9 HANDLER TO WEAR IN TRAINING IN INCLEMENT WEATHER.</t>
  </si>
  <si>
    <t>2YTJYC52340650</t>
  </si>
  <si>
    <t xml:space="preserve">
Sales Order #: 2274179697
RTD Screening Code: DON
Reason for Rejection: YG</t>
  </si>
  <si>
    <t>FOR THE PROSPECT POLICE DEPT TO USE FOR MAINTENANCE AS WELL AS EMERGENCY RESPONSE.</t>
  </si>
  <si>
    <t>2YTJYC52340649</t>
  </si>
  <si>
    <t xml:space="preserve">
Sales Order #: 2274152778
RTD Screening Code: DOD
Reason for Rejection: YG</t>
  </si>
  <si>
    <t>FOR THE PROSPECT POLICE DEPT TO ISSUE TO OFFICERS TO UPGRADE THEIR INDIVIDUAL FIRST AID KITS.</t>
  </si>
  <si>
    <t>2YTJYC52410867</t>
  </si>
  <si>
    <t xml:space="preserve">
Sales Order #: 2274616729
RTD Screening Code: DOD
Reason for Rejection: YH</t>
  </si>
  <si>
    <t>MOULTON POLICE HAVE BEEN IN THE MARKET FOR A COVERED TRAILER THAT WE WISH TO UTILIZE AS A MOBILE COMMAND CENTER. ALTHOUGH THIS IS A LITTLE SMALLER THAN WE WANT, WE BELIEVE THAT WE CAN MAKE IT WORK. IT WILL BE USED IN SPECIAL EVENTS AND FOR SPECIAL RESPONSES.</t>
  </si>
  <si>
    <t>2YTQP852411274</t>
  </si>
  <si>
    <t xml:space="preserve">
Sales Order #: 2269498106
RTD Screening Code: DOD
Reason for Rejection: YH</t>
  </si>
  <si>
    <t>MOULTON POLICE WOULD LIKE TO ACQUIRE THIS ITEM TO BE USED FOR OUR UNDERCOVER OPERATIONS, AS THE LAST TRUCK WE ACQUIRED HAS BEEN USED AND IS NOW INOPERABLE.</t>
  </si>
  <si>
    <t>2YTQP852411273</t>
  </si>
  <si>
    <t xml:space="preserve">
Sales Order #: 2274619962
RTD Screening Code: DOD
Reason for Rejection: YG</t>
  </si>
  <si>
    <t>THESE RAIL ASSEMBLIES WILL BE USED BY PATROL OFFICERS TO UPGRADE THE PATROL RIFLES THAT WE HAVE ISSUED.  THEY WILL ALLOW THE PATROL OFFICERS TO ADD LIGHTS AND GRIPS TO THEIR RIFLES MAKING THEM MORE EFFECTIVE FOR PATROL USE.</t>
  </si>
  <si>
    <t>2YTHDF52411463</t>
  </si>
  <si>
    <t xml:space="preserve">
Sales Order #: 2274609478
RTD Screening Code: DOD
Reason for Rejection: YD</t>
  </si>
  <si>
    <t>NEWLAND POLICE DEPARTMENT NEEDS THIS EQUIPMENT FOR DISASTER-RELATED EMERGENCY RESPONSE AND PREPAREDNESS AND SEARCH AND RESCUE OPERATIONS</t>
  </si>
  <si>
    <t>2YT1JE52411537</t>
  </si>
  <si>
    <t xml:space="preserve">
Sales Order #: 2275038923
RTD Screening Code: DOD
Reason for Rejection: YH</t>
  </si>
  <si>
    <t>LLOYD PD WOULD UTILIZE THIS TRAILER TO TRANSPORT EMERGENCY EQUIPMENT TO VARIOUS EVENTS, LOCATIONS, AND INCIDENTS.</t>
  </si>
  <si>
    <t>2YTGVC52481856</t>
  </si>
  <si>
    <t xml:space="preserve">
Sales Order #: 2275405697
RTD Screening Code: DOD
Reason for Rejection: Y9</t>
  </si>
  <si>
    <t>ONEONTA POLICE DEPARTMENT WILL USE THIS TRAILER TO HELP OPD TRANSPORT OUR SIDE BY SIDE TO LOCATIONS IT IS NEEDED FOR ERAD.</t>
  </si>
  <si>
    <t>2YT13U52622315</t>
  </si>
  <si>
    <t xml:space="preserve">
Sales Order #: 2275500930
RTD Screening Code: DOD
Reason for Rejection: Y9</t>
  </si>
  <si>
    <t>THE BRISTOL POLICE DEPARTMENT WOULD USE THIS TRAILER TO PICK UP AWARDED RTD PROPERTY. THE TRAILER APPEARS IN OPERATIONAL CONDITION.</t>
  </si>
  <si>
    <t>2YTBJQ52622255</t>
  </si>
  <si>
    <t xml:space="preserve">
Sales Order #: 2275770745
RTD Screening Code: DOD
Reason for Rejection: Y9</t>
  </si>
  <si>
    <t>THE PENDER COUNTY SHERIFF'S OFFICE WILL USE THIS ASSET FOR OFFROAD SEARCHES FOR PEOPLE AND WILL BE USED FOR WORKING BALL GAMES AND FESTIVALS FOR THE PERSONNEL TO GET AROUND THE CROWDS FASTER. THIS ASSET CAN ALSO BE USE AFTER A NATURAL DISASTER.</t>
  </si>
  <si>
    <t>2YTJH552622677</t>
  </si>
  <si>
    <t>PENDER CSO (2YTJH5)</t>
  </si>
  <si>
    <t xml:space="preserve">
Sales Order #: 2275764339
RTD Screening Code: DOD
Reason for Rejection: Y9</t>
  </si>
  <si>
    <t xml:space="preserve">OUR AGENCY NEEDS THIS EQUIPMENT.  WILL BE USED BY REQUESTING AGENCY FOR LAW ENFORCEMENT PURPOSES ONLY.  WILL BE ISSUED TO POLICE OFFICERS AND DEPARTMENT OFFICE STAFF FOR DAILY DOCUMENT ORGANIZING AND FILING.
</t>
  </si>
  <si>
    <t>MX</t>
  </si>
  <si>
    <t>CLIP,PAPER</t>
  </si>
  <si>
    <t>2YTHYA52622667</t>
  </si>
  <si>
    <t xml:space="preserve">
Sales Order #: 2274483667
RTD Screening Code: DOD
Reason for Rejection: Y9</t>
  </si>
  <si>
    <t>2YTHYA52693165</t>
  </si>
  <si>
    <t xml:space="preserve">
Sales Order #: 2274386349
RTD Screening Code: DOD
Reason for Rejection: Y9</t>
  </si>
  <si>
    <t>TOWNSEND POLICE DEPARTMENT WOULD UTILIZE THESE MONITORS IN CONJUNCTION WITH OUR SECURITY SURVEILLANCE SYSTEM. THEY WILL BE LOCATED IN THE FOLLOWING AREA'S ADMINISTRATIVE ASSISTANT'S OFFICE, CHIEF'S OFFICE, LIEUTENANT'S OFFICE, SQUAD ROOM, BREAKROOM, BOOKING ROOM.</t>
  </si>
  <si>
    <t>2YTRSG52693447</t>
  </si>
  <si>
    <t>TOWNSEND PD (2YTRSG)</t>
  </si>
  <si>
    <t xml:space="preserve">
Sales Order #: 2274386350
RTD Screening Code: DOD
Reason for Rejection: Y9</t>
  </si>
  <si>
    <t>TOOLBOX WILL BE USED BY MEMBERS OF THE CLAREMONT POLICE DEPARTMENT TO STORE TOOLS USED FOR THE MAINTENANCE OF DEPARTMENT EQUIPMENT AND VEHICLES.</t>
  </si>
  <si>
    <t>TOOL AND HARDWARE BOXES</t>
  </si>
  <si>
    <t>DSTOOLBXD</t>
  </si>
  <si>
    <t>2YTCE252693459</t>
  </si>
  <si>
    <t>THE NORMANDY POLICE DEPARTMENT WILL UTILIZE THESE PORTABLE GENERATORS TO RESPOND TO NATURAL DISASTERS, ESTABLISH A BASE FOR SEARCH AND RESCUE OPERATIONS, EXTEND ENGAGEMENT CAPABILITIES WITH BARRICADED SUBJECTS, AND OTHER VARIOUS INCIDENTS REQUIRING PORTABLE POWER NEEDS OR A REMOTE RESPONSE.</t>
  </si>
  <si>
    <t>2YT0M452693639</t>
  </si>
  <si>
    <t>NORMANDY POLICE DEPT (2YT0M4)</t>
  </si>
  <si>
    <t>2YTR8652341016</t>
  </si>
  <si>
    <t xml:space="preserve">
Sales Order #: 2275348854
RTD Screening Code: DOD
Reason for Rejection: Y9</t>
  </si>
  <si>
    <t>WASHINGTON COUNTY SHERIFF'S OFFICE IS A LAW ENFORCEMENT AGENCY IN THE STATE OF VIRGINIA. OUR AGENCY COULD USE THIS OFF ROAD VEHICLE FOR PATROLING AND SEARCHES OFF ROAD. THIS VEHICLE WILL BE USE BY LAW ENFORCEMENT PERSONNEL.</t>
  </si>
  <si>
    <t>2YTM9Q52622284</t>
  </si>
  <si>
    <t xml:space="preserve">
Sales Order #: 2275390496
RTD Screening Code: DOD
Reason for Rejection: Y9</t>
  </si>
  <si>
    <t>2YTLC652622322</t>
  </si>
  <si>
    <t xml:space="preserve">
Sales Order #: 2275406858
RTD Screening Code: DOD
Reason for Rejection: Y9</t>
  </si>
  <si>
    <t>RCSO NEEDS THIS EQUIPMENT FOR ITS ABILITY TO ACCESS DIFFICULT TERRAIN, ASSIST IN SEARCH AND RESCUE, FACILITATE PATROLS IN LARGE AREAS LIKE PARKS AND ENABLE SURVEILLANCE AND TACTICAL OPERATIONS WHERE TRADITIONAL VEHICLES CANNOT GO.</t>
  </si>
  <si>
    <t>2YTJ7852622259</t>
  </si>
  <si>
    <t xml:space="preserve">
Sales Order #: 2275238248
RTD Screening Code: DOD
Reason for Rejection: Y9</t>
  </si>
  <si>
    <t>THE NORTHLAKE POLICE DEPARTMENT HAS SEVERAL OPERATORS ON THE WEST SUBURBAN SPECIAL RESPONSE TEAM.  WE NEED THESE MOUNTS TO OUTFIT OUR OPERATORS WITH NVG'S WE HAVE BEEN AWARDED FROM LESO.
WE ACCEPT THESE ITEMS IN THE CONDITION LISTED.</t>
  </si>
  <si>
    <t>2YTPK352622341</t>
  </si>
  <si>
    <t xml:space="preserve">
Sales Order #: 2275406844
RTD Screening Code: DOD
Reason for Rejection: Y9</t>
  </si>
  <si>
    <t>REQUESTED BY NORTH MYRTLE BEACH POLICE DEPARTMENT FOR USE BY NMB POLICE OFFICERS DURING HURRICANES, NATURAL DISASTERS AND OTHER LARGE SCALE EVENTS</t>
  </si>
  <si>
    <t>2YT1PG52622256</t>
  </si>
  <si>
    <t xml:space="preserve">
Sales Order #: 2275390495
RTD Screening Code: DOD
Reason for Rejection: Y9</t>
  </si>
  <si>
    <t>THIS ITEM WILL ONLY BE USED BY THE GLEASON POLICE DEPARTMENT. THIS ITEM WILL BE USED AT THE TRAINING FACILITY. THIS ITEM WILL BE USED DURING TIMES OF NATURAL DISASTER TO MOVE ESSENTIAL EQUIPMENT. THIS ITEM WILL BE USED TO LOAD AND UNLOAD EQUIPMENT AT THE TRAINING FACILITY.</t>
  </si>
  <si>
    <t>2YTEMC52622317</t>
  </si>
  <si>
    <t xml:space="preserve">
Sales Order #: 2275629774
RTD Screening Code: DOD
Reason for Rejection: Y9</t>
  </si>
  <si>
    <t>THE FULTON COUNTY SHERIFFS OFFICE IS REQUESTING THESE MOUNTING MECHANISMS SO DEPUTIES CAN USE THEM WITH OUR SWAT TEAM. THESE WILL ALLOW DEPUTIES TO MOUNT OUR NIGHT VISION DEVICES</t>
  </si>
  <si>
    <t>2YTEED52622248</t>
  </si>
  <si>
    <t xml:space="preserve">
Sales Order #: 2275560587
RTD Screening Code: DOD
Reason for Rejection: Y9</t>
  </si>
  <si>
    <t>IN NEED OF MOUNTS FOR SWAT TEAM TO TRANSITION TO NIGHT VISION CAPABILITIES.</t>
  </si>
  <si>
    <t>2YTDSG52622320</t>
  </si>
  <si>
    <t>FOR USE BY RESCUE AND LE TEAMS FOR HEARING PROTECTION AND COMMUNICATION DURING TRAINING AND OPERATIONS FOR OFFICER SAFETY AND TO SEARCH FOR INJURED PERSONNEL</t>
  </si>
  <si>
    <t>2YTMGW52622294</t>
  </si>
  <si>
    <t>2YTMGW52622293</t>
  </si>
  <si>
    <t>FOR USE BY RESCUE AND LE TEAMS TO SECURE GOOGLES, LIGHTS, OTHER ACCESSORIES TO RESCUE HELMETS FOR TRAINING AND OPERATIONS FOR OFFICER SAFETY AND TO SEARCH FOR INJURED PERSONNEL</t>
  </si>
  <si>
    <t>2YTMGW52622292</t>
  </si>
  <si>
    <t xml:space="preserve">
Sales Order #: 2275406850
RTD Screening Code: DOD
Reason for Rejection: Y9</t>
  </si>
  <si>
    <t>THE VEHICLE WILL BE USED BY THE ARP POLICE DEPARTMENT FOR LAW ENFORCEMENT PURPOSES ONLY. OFFICERS WILL USE THE VEHICLE FOR TRAVELING TO AND FROM TRAINING AND FOR PICKING UP LESO AWARDED EQUIPMENT.</t>
  </si>
  <si>
    <t>2YTANX52622310</t>
  </si>
  <si>
    <t xml:space="preserve">
Sales Order #: 2275390416
RTD Screening Code: DOD
Reason for Rejection: Y9</t>
  </si>
  <si>
    <t>THE K9 TRAILER WILL BE USED BY THE ARP POLICE DEPARTMENT FOR LAW ENFORCEMENT PURPOSES ONLY. ARP PD HAS AN ACTIVE K9 PROGRAM. THE K9 TRAILER WILL BE USED TO TRANSPORT K9S AND GEAR TO TRAINING.</t>
  </si>
  <si>
    <t>2YTANX52622307</t>
  </si>
  <si>
    <t xml:space="preserve">
Sales Order #: 2275318084
RTD Screening Code: DOD
Reason for Rejection: Y9</t>
  </si>
  <si>
    <t>FOR THE PROSPECT POLICE DEPT TO ISSUE TO OFFICERS TO WEAR AS EYE PROTECTION.</t>
  </si>
  <si>
    <t>2YTJYC52622373</t>
  </si>
  <si>
    <t xml:space="preserve">
Sales Order #: 2275503919
RTD Screening Code: DOD
Reason for Rejection: Y9</t>
  </si>
  <si>
    <t>FOR USE BY THIS LEA ONLY. TO BE USED BY THE LEOS OF THIS AGENCY. THIS NVG MOUNTING ARM WILL BE USED TO SECURELY ATTACH NIGHT VISION GOGGLES TO HELMETS DURING LAW ENFORCEMENT TACTICAL OPERATIONS AND NIGHT MISSIONS.</t>
  </si>
  <si>
    <t>2YTEY452622359</t>
  </si>
  <si>
    <t>FOR USE BY RESCUE AND LE TEAMS TO STORE AND TRANSPORT SUPPLIES IN THE FIELD DURING TRAINING AND OPERATIONS SUCH AS FIRST AID AND LE EQUIPMENT</t>
  </si>
  <si>
    <t>2YTMGW52622360</t>
  </si>
  <si>
    <t xml:space="preserve">
Sales Order #: 2275438519
RTD Screening Code: DOD
Reason for Rejection: Y9</t>
  </si>
  <si>
    <t xml:space="preserve">
OUR AGENCY NEEDS THIS EQUIPMENT.  WILL BE USED BY REQUESTING AGENCY FOR LAW ENFORCEMENT PURPOSES ONLY.  WILL BE ISSUED TO POLICE OFFICERS - SWAT MEMBERS FOR DUTY AND TRAINING USE FOR ENHANCED EYE PROTECTION. WILL COORDINATE SHIPPING WHEN REQUISITION IS APPROVED.
</t>
  </si>
  <si>
    <t>2YTHYA52622404</t>
  </si>
  <si>
    <t xml:space="preserve">
Sales Order #: 2275390502
RTD Screening Code: DOD
Reason for Rejection: Y9</t>
  </si>
  <si>
    <t>THESE HEADSETS WILL BE USED BY OUR SRT OPERATORS DURING WARRANT OPERATIONS.  THEY WILL PROVIDE OUR OPERATORS WITH THE AMPLIFIED HEARING PROTECTION WHILE ALSO BEING ABLE TO HAVE RADIO CONTACT WITH DISPATCH AND OTHER PATROL OFFICERS THAT ARE ASSISTING.  
I HAVE CONTACTED THE BASE AND WE ARE SATISFIED WITH THE CONDITION OF THE HEADSETS.</t>
  </si>
  <si>
    <t>2YTHDF52622377</t>
  </si>
  <si>
    <t xml:space="preserve">
Sales Order #: 2275529544
RTD Screening Code: DOD
Reason for Rejection: Y9</t>
  </si>
  <si>
    <t>FOR USE BY FCSO SWAT OPERATORS IN CONDUCTING HIGH ANGLE HOSTAGE RESCUES</t>
  </si>
  <si>
    <t>2YTDXH52622394</t>
  </si>
  <si>
    <t xml:space="preserve">
Sales Order #: 2275529542
RTD Screening Code: DOD
Reason for Rejection: Y9</t>
  </si>
  <si>
    <t>THIS ASSET WOULD BENEFIT OUR AGENCY BY ALLOWING US TO UTILIZE THIS ASSET AS EVIDENCE STORAGE LOCKERS. THESE WOULD BE USED TO HOLD EVIDENCE WHILE IT IS BEING PROCESSED TO SEND TO THE LAB OR TO BE DESTROYED PER COURT ORDERS .WE WOULD REPAIR THESE AS NEEDED TO MAKE THEM WORK.</t>
  </si>
  <si>
    <t>CABINETS, LOCKERS, BINS, AND SHELVING</t>
  </si>
  <si>
    <t>DSCABINSH</t>
  </si>
  <si>
    <t>2YTS0852622520</t>
  </si>
  <si>
    <t xml:space="preserve">
Sales Order #: 2275530166
RTD Screening Code: DOD
Reason for Rejection: Y9</t>
  </si>
  <si>
    <t>THE OLIVER SPRINGS POLICE DEPARTMENT IS LOOKING FOR A LIFT TO HELP SET UP TRAINING AIDS AT OUR TRAINING FACILITY FOR TRAINING ON COUNTER DRUG AND COUNTER TERRORISM, AS WELL AS IN ASSISTING WITH OUR COMMUNICATION EQUIPMENT AT THE OLIVER SPRINGS POLICE DEPARTMENT.</t>
  </si>
  <si>
    <t>CRANES AND CRANE-SHOVELS</t>
  </si>
  <si>
    <t>DSCRANESH</t>
  </si>
  <si>
    <t>2YT12V52622530</t>
  </si>
  <si>
    <t xml:space="preserve">
Sales Order #: 2275764341
RTD Screening Code: DOD
Reason for Rejection: Y9</t>
  </si>
  <si>
    <t>2YTHYA52622662</t>
  </si>
  <si>
    <t xml:space="preserve">
Sales Order #: 2275996621
RTD Screening Code: DOD
Reason for Rejection: Y9</t>
  </si>
  <si>
    <t>THIS ASSET WOULD BENEFIT THIS AGENCY AND OUR OFFICERS BY ALLOWING US TO UTILIZE THIS IN OUR GARAGE TO MAINTAIN A COOLER TEMPERATURE WHILE WORKING ON VEHICLES AND OTHER EQUIPMENT. THIS WOULD ASSIST IN KEEIPING OFFICERS SAFE FROM HEAT INCIDENTS. WE WOULD REPAIR THIS TO MAKE IT FUNCTIONAL</t>
  </si>
  <si>
    <t>2YTS0852623120</t>
  </si>
  <si>
    <t xml:space="preserve">
Sales Order #: 2275996678
RTD Screening Code: DOD
Reason for Rejection: Y9</t>
  </si>
  <si>
    <t>OFFICERS WITH THE BRISTOL POLICE DEPARTMENT WOULD UTILIZE THIS TRAILER TO PICK-UP AWARDED RTD PROPERTY. THE TRAILER WOULD ALSO BE USED TO MOVE THE LARGE PIECES OF MACHINERY WE HAVE. THIS TRAILER WILL BE USED WITH THE TRUCK WE PUT IN FOR.</t>
  </si>
  <si>
    <t>2YTBJQ52693138</t>
  </si>
  <si>
    <t xml:space="preserve">
Sales Order #: 2274413734
RTD Screening Code: DOD
Reason for Rejection: Y9</t>
  </si>
  <si>
    <t xml:space="preserve">FEDERAL SCREENER FOR DIVISION WITH 200 LAW ENFORCEMENT AGENTS TO INCLUDE 19 SWAT OPERATORS.  THESE WILL BE USED FOR VEHICLE EXTRACTIONS BY BOTH SWAT AND AGENTS FOR SUBJECTS IN VEHICLES.
</t>
  </si>
  <si>
    <t>2YTQY152623271</t>
  </si>
  <si>
    <t xml:space="preserve">
Sales Order #: 2276418852
RTD Screening Code: DOD
Reason for Rejection: Y9</t>
  </si>
  <si>
    <t>2YTKUK52623619</t>
  </si>
  <si>
    <t xml:space="preserve">
Sales Order #: 2276418816
RTD Screening Code: DOD
Reason for Rejection: Y9</t>
  </si>
  <si>
    <t>THE SCOTLAND COUNTY SHERIFF'S OFFICE  WOULD LIKE TO REQUEST THE LISTED ITEMS TO ASSIST IN SEARCH AND RESCUE OPERATIONS BEING CONDUCTED BY ITS DEPUTIES.  THESE ITEMS WILL HELP THE DEPUTIES BE BETTER PREPARED WHEN DEALING WITH SUDDEN, LIFE THREATENING SITUATIONS THE MAY DEAL WITH.</t>
  </si>
  <si>
    <t>2YTKUK52623357</t>
  </si>
  <si>
    <t xml:space="preserve">
Sales Order #: 2276389702
RTD Screening Code: DOD
Reason for Rejection: Y9</t>
  </si>
  <si>
    <t>MONTGOMERY CSO NEEDS THIS UNMANNED VEHICLE FOR ITS SRT TEAM SO THAT IT MAY BE DEPLOYED FOR BARRICADED SUBJECTS, HOSTAGE RECUES, VIOLENT CRIMINAL OFFENDERS, SEARCH WARRANTS ETC. OR ANY EMERGENCY INCIDENT WHERE SENDING IN PERSONNEL IS NOT PRACTICAL. THIS ROBOT WILL AFFORD US TO OFFER A SAFER RESPONSE ALTERNATIVE AND ENHANCE OUR SRT AND RECUE CAPABILITIES.</t>
  </si>
  <si>
    <t>2YTHYP52623655</t>
  </si>
  <si>
    <t>THESE TRAINING FIREARMS WOULD BE USED FOR TRAINING LAW ENFORCEMENT OFFICERS ON SEARCHING AND HANDLING.</t>
  </si>
  <si>
    <t>2YTGAF52693671</t>
  </si>
  <si>
    <t>THESE DEVICES WOULD BE UTILIZED BY OUR SWAT TEAM IN CONJUNCTION WITH OUR NIGHT VISION PROGRAM TO IDENTIFY AREAS OF SAFETY DURING TRAINING AND FIELD EXERCISES. I ACKNOWLEDGE THE CONDITION OF THESE UNITS AND I HAVE CONTACTED THE ON-SITE MANAGER WHERE THESE ARE LOCATED AND CONFIRMED THE FUNCTIONALITY OF THESE DEVICES.</t>
  </si>
  <si>
    <t>2YTRQQ52633683</t>
  </si>
  <si>
    <t>RED DOTS WITHOUT MOUNTS GIVE FLEXIBILITY TO EQUIP HYDRA-MOUNTED SUB GUNS WITH FAST, RELIABLE OPTICS. THEY PROVIDE TARGET ACQUISITION IN CLOSE QUARTERS, INCREASING ACCURACY, SAFETY, AND EFFECTIVENESS DURING INCIDENTS.</t>
  </si>
  <si>
    <t>2YTFKS52623094</t>
  </si>
  <si>
    <t>2YTFKS52623093</t>
  </si>
  <si>
    <t>HGU HELMETS PROVIDE THE LAV DRIVER AND VEHICLE COMMANDER WITH ESSENTIAL HEAD PROTECTION AND INTEGRATED COMMS CAPABILITY WHILE OPERATING WITH HEADS EXPOSED THROUGH HATCHES. THEY SAFEGUARD AGAINST IMPACT, DEBRIS, AND NOISE WHILE ENSURING CLEAR COMMUNICATION, ENHANCING SAFETY AND COORDINATION DURING HIGH-RISK DEPLOYMENTS.</t>
  </si>
  <si>
    <t>HELMET,FLYER'S</t>
  </si>
  <si>
    <t>2YTFKS52623219</t>
  </si>
  <si>
    <t>FOR USE BY LEO AND SWAT FOR HIGH RISK INCIDENTS SUCH AS HOSTAGE RESCUE AND ACTIVE SHOOTER AND OTHER CRITICAL EMERGENCIES.</t>
  </si>
  <si>
    <t>2YTSZX52633631</t>
  </si>
  <si>
    <t>MILLE LACS TRIBAL POLICE DEPARTMENT (2YTSZX)</t>
  </si>
  <si>
    <t xml:space="preserve">
Sales Order #: 2272393988
RTD Screening Code: GSA
Reason for Rejection: YG</t>
  </si>
  <si>
    <t>THE POLICE DEPARTMENT REQUESTS AN OVERHEAD PROJECTOR FOR OFFICERS' OFFICES TO FACILITATE TRAINING SESSIONS AND BRIEFINGS WITH VISUAL AIDS. THIS ENHANCES OFFICER SAFETY BY IMPROVING PREPARATION AND COMMUNICATION OF CRITICAL OPERATIONAL STRATEGIES. THE PROJECTOR WILL BE USED EXCLUSIVELY BY OUR DEPARTMENT'S OFFICERS</t>
  </si>
  <si>
    <t>2YTH3452279986</t>
  </si>
  <si>
    <t xml:space="preserve">
Sales Order #: 2272728366
RTD Screening Code: DOD
Reason for Rejection: YD</t>
  </si>
  <si>
    <t>THE LEA, SPENCER PD, NEEDS THIS ITEM FOR NATURAL DISASTER RESPONSE.</t>
  </si>
  <si>
    <t>2YTLC052270361</t>
  </si>
  <si>
    <t xml:space="preserve">
Sales Order #: 2273952214
RTD Screening Code: DOD
Reason for Rejection: YF</t>
  </si>
  <si>
    <t>WEBB PD WILL USE TO BUILD AND MAINTAIN A GUN RANGE, SKID STEER RECENTLY AWARDED HAS HOLE IN ENGINE BLOCK AND IS NOT REPAIRABLE.</t>
  </si>
  <si>
    <t>2YTRL452340458</t>
  </si>
  <si>
    <t xml:space="preserve">
Sales Order #: 2275560604
RTD Screening Code: DOD
Reason for Rejection: YG</t>
  </si>
  <si>
    <t>WILL BE ISSUED TO ALL PATROL DEPUTIES THAT DO NOT HAVE A VAULT IN THEIR PATROL CAR SO THAT THEIR PATROL RIFLE CAN BE SECURED AND LOCK IN THEIR CAR.</t>
  </si>
  <si>
    <t>2YTLK552481430</t>
  </si>
  <si>
    <t xml:space="preserve">
Sales Order #: 2275170156
RTD Screening Code: DOD
Reason for Rejection: YH</t>
  </si>
  <si>
    <t>THE ALBERTVILLE POLICE DEPARTMENT IS IN THE PROCESS OF CONVERTING AN OLD ARMORY INTO A TRAINING CENTER FOR THE POLICE DEPARTMENT. THESE SCREENS WILL BE PLACE INTO CLASSROOM TO ENABLE INSTRUCTORS TO DO PRESENTATIONS.</t>
  </si>
  <si>
    <t>PROJECTION SCREEN</t>
  </si>
  <si>
    <t>DSSCREEN0</t>
  </si>
  <si>
    <t>2YTAEQ52481513</t>
  </si>
  <si>
    <t>ALBERTVILLE POLICE DEPT (2YTAEQ)</t>
  </si>
  <si>
    <t xml:space="preserve">
Sales Order #: 2274669841
RTD Screening Code: GSA
Reason for Rejection: YG</t>
  </si>
  <si>
    <t>THE SCOTLAND COUNTY SHERIFF'S OFFICE WOULD LIKE TO REQUEST THIS ITEM TO ASSIST IN THE AGENCIES COUNTER DRUG AND COUNTER TERRORISM OPERATIONS.  THE ITEMS WOULD BE USED TO SECURE HIGH VALUE ITEMS AND PROTECT THEM FROM THEFT AND DAMAGE.</t>
  </si>
  <si>
    <t>2YTKUK52481519</t>
  </si>
  <si>
    <t xml:space="preserve">
Sales Order #: 2274609485
RTD Screening Code: DOD
Reason for Rejection: YD</t>
  </si>
  <si>
    <t>2YT1JE52411538</t>
  </si>
  <si>
    <t xml:space="preserve">
Sales Order #: 2275170167
RTD Screening Code: GSA
Reason for Rejection: YH</t>
  </si>
  <si>
    <t>THIS ITEM WILL BE UTILIZED TO ESTABLISH FORWARD OPERATIONS AT PROLONGED INCIDENTS, OR DEPLOYMENT TO ASSIST OTHER AGENCIES WITH NATURAL INCIDENTS WHERE A PROLONGED PRESENCE IS REQUIRED AND SHELTER IS NECESSARY FOR COMMAND FUNCTIONS OR OVERNIGHT LAGERING AT THE LOCATION IS REQUIRED.</t>
  </si>
  <si>
    <t>2YT0E752481740</t>
  </si>
  <si>
    <t xml:space="preserve">
Sales Order #: 2275170147
RTD Screening Code: GSA
Reason for Rejection: YH</t>
  </si>
  <si>
    <t>THIS ITEM WILL BE UTILIZED BY PERSONAL OF THIS AGENCY WHEN IT IS REQUIRED DUE TO INCLIMATE WEATHER CONDITIONS OR DEPLOYMENT TO NATURAL DISASTER INCIDENTS TO LOGGER OVER NIGHT AT THE POLICE STATION OR AT THE INCIDENT FORWARD OPERATING BASE.</t>
  </si>
  <si>
    <t>2YT0E752481739</t>
  </si>
  <si>
    <t xml:space="preserve">
Sales Order #: 2275170164
RTD Screening Code: DOD
Reason for Rejection: YH</t>
  </si>
  <si>
    <t>THIS AGENCY CONDUCTS FIELD OPERATIONS THAT REQUIRE THE MANUAL MOVEMENT OF TACTICAL GEAR.  THIS ITEM WILL BE USED IN THE FIELD TO TRANSPORT TACTICAL LE GEAR AS NEEDED</t>
  </si>
  <si>
    <t>2YT0E752481738</t>
  </si>
  <si>
    <t xml:space="preserve">
Sales Order #: 2275170151
RTD Screening Code: DON
Reason for Rejection: YH</t>
  </si>
  <si>
    <t>THIS ITEM WILL BE UTILIZED BY LAW ENFORCEMENT PERSONNEL TO STOW MISCELLANEOUS LAW ENFORCEMENT EQUIPMENT IN LAW ENFORCEMENT VEHICLES</t>
  </si>
  <si>
    <t>2YT0E752411747</t>
  </si>
  <si>
    <t xml:space="preserve">
Sales Order #: 2275170159
RTD Screening Code: DON
Reason for Rejection: YH</t>
  </si>
  <si>
    <t>SMALL ARMS AMMO CAN</t>
  </si>
  <si>
    <t>DSSAMMOCN</t>
  </si>
  <si>
    <t>2YT0E752411745</t>
  </si>
  <si>
    <t xml:space="preserve">
Sales Order #: 2275170149
RTD Screening Code: DON
Reason for Rejection: YH</t>
  </si>
  <si>
    <t>THIS ITEM WILL BE UTILIZED BY LAW ENFORCEMENT PERSONNEL TO STORE SENSITIVE LAW ENFORCEMENT RELATED DEVICES WHILE DEPLOYED OR IN VEHICLE BORNE OPERATIONS.  THIS ITEM WILL PREVENT DAMAGE TO SENSITIVE EQUIPMENT FROM ADVERSE CONDITIONS.</t>
  </si>
  <si>
    <t>2YT0E752411744</t>
  </si>
  <si>
    <t xml:space="preserve">
Sales Order #: 2274459608
RTD Screening Code: DOD
Reason for Rejection: Y9</t>
  </si>
  <si>
    <t>TPWD LE DIVISION REQUEST THE SMALLER FORKLIFT TO REPLACE UNREPAIRABLE FORKLIFTS IN PATROL VESSEL MAINTENANCE AREAS, USE IN BOAT BARNS FOR LOADING AND UNLOADING SUPPLIES, AND FOR ANY OTHER APPLICABLE LE USE.</t>
  </si>
  <si>
    <t>2YTL2652692948</t>
  </si>
  <si>
    <t xml:space="preserve">
Sales Order #: 2275996613
RTD Screening Code: DOD
Reason for Rejection: Y9</t>
  </si>
  <si>
    <t>FORKLIFT WILL BE USED BY HOUSTON POLICE OFFICERS IN THE HOUSTON POLICE SUPPLY DIVISION TO MOVE PALLETS OF UNIFORM ITEMS IN AND OUT OF STORAGE CONTAINERS FOR DISBURSEMENT TO HOUSTON POLICE OFFICERS</t>
  </si>
  <si>
    <t>2YTFKH52692838</t>
  </si>
  <si>
    <t>WE ARE IN NEED OF AMPLIFIED EAR PRO FOR OUR SRT OPERATORS TO USE DURING OPERATIONS SO THAT THEY CAN COMMUNICATE ON THE RADIO AS WELL AS BE ABLE TO HEAR WHAT'S GOING ON AROUND THEM.  
I HAVE CONTACTED THE BASE AND WE ARE SATISFIED WITH THE CONDITION OF THE EAR PRO</t>
  </si>
  <si>
    <t>2YTHDF52763801</t>
  </si>
  <si>
    <t>POLICE OFFICERS FROM THE DELAVAN POLICE DEPARTMENT WILL USE THIS WAREHOUSE RACKING TO SAFELY STORE DISASTER RECOVERY GEAR, INCIDENT COMMAND SUPPLIES, AND OPERATIONAL EQUIPMENT. ORGANIZED RACKING WILL ENSURE RAPID ACCESS DURING EMERGENCIES, IMPROVE ACCOUNTABILITY OF ISSUED RESOURCES, AND MAXIMIZE LIMITED STORAGE SPACE AT THE DEPARTMENT. THIS RESOURCE DIRECTLY SUPPORTS READINESS, SAFETY, AND EFFICIENT DEPLOYMENT OF CRITICAL EQUIPMENT.</t>
  </si>
  <si>
    <t>2YTC8P52763859</t>
  </si>
  <si>
    <t xml:space="preserve">
Sales Order #: 2275170150
RTD Screening Code: DOD
Reason for Rejection: YH</t>
  </si>
  <si>
    <t>THE TEHAMA COUNTY SHERIFF'S OFFICE WILL USE WATER PURIFICATION EQUIPMENT DURING DISASTER SHELTERING RESPONSE AND AT REMOTE COMMAND POSTS DURING EXTENDED SAR MISSIONS WHERE WATER NEEDS TO BE CLEAN FOR DEPUTIES TO DRINK.</t>
  </si>
  <si>
    <t>WATER PURIFICATION EQUIPMENT</t>
  </si>
  <si>
    <t>DSWATERPU</t>
  </si>
  <si>
    <t>2YTLQ752552020</t>
  </si>
  <si>
    <t xml:space="preserve">
Sales Order #: 2275153697
RTD Screening Code: DOD
Reason for Rejection: YG</t>
  </si>
  <si>
    <t>THE NORWALK POLICE DEPARTMENT WOULD USE THIS FORK LIFT TO ACCESS AND STORE LARGE ITEMS IN THE UPPER STORAGE AREA OF THE POLICE GARAGE.</t>
  </si>
  <si>
    <t>2YTQZD52552131</t>
  </si>
  <si>
    <t xml:space="preserve">
Sales Order #: 2275390497
RTD Screening Code: GSA
Reason for Rejection: YH</t>
  </si>
  <si>
    <t>THIS ITEM WILL BE UTILIZED BY THIS AGENCY'S LE PERSONNEL WHO ARE CROSS TRAINED IN TACTICAL AND GENERAL EMERGENCY MEDICINE. THE MATERIAL WILL BE USED TO TREAT BY SICK AND INJURED LE PERSONNEL AND CIVILIANS IN BOTH DISASTER AND MASS CASUALTY INCIDENTS WHERE THE NORMAL EMS RESPONSE IS OVERWHELMED OR UNABLE TO REACH PATIENTS DUE THE TACTICAL OR KINETIC ENVIRONMENT.</t>
  </si>
  <si>
    <t>2YT0E752552242</t>
  </si>
  <si>
    <t xml:space="preserve">
Sales Order #: 2275770723
RTD Screening Code: DOD
Reason for Rejection: YD</t>
  </si>
  <si>
    <t>THE PENDER COUNTY SHERIFF'S OFFICE WILL USE THIS ASSET FOR MISSING PERSONS IN WOODED AREAS AND CAN BE USED AFTER NATURAL DISASTERS.</t>
  </si>
  <si>
    <t>2YTJH552552678</t>
  </si>
  <si>
    <t xml:space="preserve">
Sales Order #: 2274489033
RTD Screening Code: DOD
Reason for Rejection: Y9</t>
  </si>
  <si>
    <t>FOR USE BY OAKLAND CSO ON DUTY OFFICERS OPERATING FROM HELICOPTER ASSETS AND HOVERCRAFT. THESE ARE TO PROVIDE BOTH HEARING PROTECTION AND ALLOW FOR RADIO COMMUNICATIONS TO AND FROM THESE VEHICLES. CURRENTLY NOT ALL DEPUTIES ASSIGNED TO THE TEAM DO NOT HAVE COMMUNICATIONS CAPABLE HEARING PROTECTION.</t>
  </si>
  <si>
    <t>2YT1WK52692965</t>
  </si>
  <si>
    <t xml:space="preserve">
Sales Order #: 2274489042
RTD Screening Code: DOD
Reason for Rejection: Y9</t>
  </si>
  <si>
    <t>FOR USE BY ON DUTY OFFICERS OF THE LANSING POLICE DEPARTMENT FOR HEARING PROTECTION AND RADIO COMMUNICATION. CONTACT HAS BEEN MADE TO VERIFY PROPERTY CONDITION.</t>
  </si>
  <si>
    <t>2YTPER52693066</t>
  </si>
  <si>
    <t xml:space="preserve">
Sales Order #: 2275755993
RTD Screening Code: DOD
Reason for Rejection: Y9</t>
  </si>
  <si>
    <t>THIS TRAILER WILL BE USED BY THE FULTONDALE PD FOR NATURAL DISASTER PREPAREDNESS. WE HAVE A SAD HISTORY OF DEVASTATING TORNADOES IN FULTONDALE. THIS TRAILER WILL BE USED BY THE FULTONDALE PD TO TRANSPORT A BACKHOE AND A BULLDOZER.</t>
  </si>
  <si>
    <t>2YTEEJ52692830</t>
  </si>
  <si>
    <t>FOR USE BY RESCUE AND LE TEAMS TO PROTECT HEARING AND TO COMMUNICATE INDOORS AND OUTDOORS DURING TRAINING AND OPERATIONS FOR OFFICER SAFETY</t>
  </si>
  <si>
    <t>2YTMGW52692923</t>
  </si>
  <si>
    <t xml:space="preserve">
Sales Order #: 2275996622
RTD Screening Code: DOD
Reason for Rejection: Y9</t>
  </si>
  <si>
    <t>THIS ASSET WOULD BENEFIT OUR AGENCY AND OFFICERS BY ALLOWING US TO BE ABLE TO MOVE OUR LARGE EQUIPMENT TO AND FROM AREAS WHERE THEY ARE NEEDED SUCH AS NATURAL DISASTER LOCATIONS AND ALSO TO PICK UP AND TRANSPORT ITEMS THAT ARE AWARDED VIA LESO. THIS WOULD ALLOW US TO SAVE MONEY ON BUDGET TO PURCHASE OTHER NEEDED ITEMS. WE WOULD REPAIR THIS AS NEEDED</t>
  </si>
  <si>
    <t>2YTS0852693119</t>
  </si>
  <si>
    <t xml:space="preserve">
Sales Order #: 2275996669
RTD Screening Code: DOD
Reason for Rejection: Y9</t>
  </si>
  <si>
    <t xml:space="preserve">THE TEHAMA COUNTY SHERIFF'S OFFICE WILL USE HAND CART IN OUR RECORDS, JAIL BOOKING, PATROL AND EMERGENCY OPERATION CENTER FOR DAILY OPERATIONS.
</t>
  </si>
  <si>
    <t>2YTLQ752693228</t>
  </si>
  <si>
    <t xml:space="preserve">
Sales Order #: 2275896261
RTD Screening Code: GSA
Reason for Rejection: YH</t>
  </si>
  <si>
    <t>THE TEHAMA COUNTY SHERIFF'S OFFICE WILL USE MEDICAL MATERIEL SET AS DISASTER RESPONSE SUPPLIES USED BY DEPUTIES TO ASSIST THE INJURED AND PROVIDE FIRST AID, TO REPLACE AND REPLENISH DEPUTY FIRST AID KIT SUPPLIES AND EXPIRED ITEMS WILL BE USED FOR DEPUTY MEDICAL TRAINING.</t>
  </si>
  <si>
    <t>MEDICAL MATERIEL SE</t>
  </si>
  <si>
    <t>2YTLQ752623394</t>
  </si>
  <si>
    <t xml:space="preserve">
Sales Order #: 2276188700
RTD Screening Code: DOD
Reason for Rejection: Y9</t>
  </si>
  <si>
    <t>TO BE USED FOR TRACKING SUSPECTS AT NIGHT, ROOM CLEARING CLEAR AT NIGHT, EMERGENCY INCIDENTS, TRAINING, CITY EVENTS, TO BE USED BY LAW ENFORCEMENT</t>
  </si>
  <si>
    <t>2YTFRN52693531</t>
  </si>
  <si>
    <t>INMAN POLICE DEPT (2YTFRN)</t>
  </si>
  <si>
    <t xml:space="preserve">
Sales Order #: 2274413737
RTD Screening Code: DOD
Reason for Rejection: Y9</t>
  </si>
  <si>
    <t>TO BE USED BY U.S. CUSTOMS TO IDENTIFY HUMAN HEAT SIGNATURES ON COMMERCIAL TRAINS FOR FOREIGN NATIONALS TRYING TO ENTER THE ILLEGALLY INTO THE U.S.</t>
  </si>
  <si>
    <t>2YTRGK52693586</t>
  </si>
  <si>
    <t xml:space="preserve">
Sales Order #: 2276286559
RTD Screening Code: DOD
Reason for Rejection: Y9</t>
  </si>
  <si>
    <t>THE BOTHELL POLICE DEPARTMENT REQUESTS A FLIR DEVICE TO ENHANCE OUR ABILITY TO LOCATE MISSING PERSONS AND FLEEING SUSPECTS IN LOW-VISIBILITY OR NIGHTTIME CONDITIONS. WITH 77 OFFICERS SERVING 50,000 RESIDENTS, FLIR TECHNOLOGY PROVIDES CRITICAL THERMAL IMAGING TO SUPPORT SEARCH AND RESCUE OPERATIONS, TACTICAL DEPLOYMENTS, AND SUSPECT APPREHENSIONS. THIS EQUIPMENT WILL INCREASE SAFETY, OPERATIONAL EFFECTIVENESS, AND RESPONSE CAPABILITIES ACROSS OUR JURISDICTION.</t>
  </si>
  <si>
    <t>2YTBEP52693604</t>
  </si>
  <si>
    <t>BOTHELL POLICE DEPT (2YTBEP)</t>
  </si>
  <si>
    <t xml:space="preserve">
Sales Order #: 2276379945
RTD Screening Code: DOD
Reason for Rejection: Y9</t>
  </si>
  <si>
    <t>THE NORMANDY POLICE DEPARTMENT WILL UTILIZE THIS THERMAL IMAGING EQUIPMENT TO RAPIDLY LOCATE SUBJECTS DURING SEARCH AND RESCUE MISSION AND TO LOCATE AND APPREHEND SUBJECTS FLEEING OFFICERS.</t>
  </si>
  <si>
    <t>2YT0M452693636</t>
  </si>
  <si>
    <t>THE TOWNSEND POLICE DEPARTMENT IS SEEKING THIS EQUIPMENT TO UTILIZE AS PART OF OUR COUNTER DRUG OPERATIONS, AS WELL AS SEARCH AND RESCUE MISSION. WE CAN ALSO USE THIS FOR REAL-TIME INCIDENT OVERSITE IN SERIOUS CASES OR SUSPECT SEARCH ALL ENHANCE PUBLIC AND OFFICER SAFETY.</t>
  </si>
  <si>
    <t>2YTRSG52763747</t>
  </si>
  <si>
    <t xml:space="preserve">
Sales Order #: 2276484647
RTD Screening Code: DOD
Reason for Rejection: Y9</t>
  </si>
  <si>
    <t>TOWNSEND PD WILL UTILIZE THIS SOFA IN OUR VICTIM INTERVIEW ROOM AS A MEANS TO MAKE THEM COMFORTABLE AND NOT RE-VICTIMIZED BY SITTING IN A CHAIR LIKE THE OFFICERS INTERVIEWING THEM. THIS TACTIC ALSO WORKS WELL WITH YOUNG CHILDREN AND YOUTH WHO ARE VICTIMS OF CRIME.</t>
  </si>
  <si>
    <t>SOFA</t>
  </si>
  <si>
    <t>DSSOFA000</t>
  </si>
  <si>
    <t>2YTRSG52673779</t>
  </si>
  <si>
    <t xml:space="preserve">
Sales Order #: 2276463048
RTD Screening Code: DOD
Reason for Rejection: Y9</t>
  </si>
  <si>
    <t>WE ARE IN NEED OF AMPLIFIED EAR PRO FOR OUR SRT OPERATORS TO BE ABLE TO COMMUNICATE WITH EACH OTHER AS WELL AS HAVE THE ABILITY TO HEAR WHAT'S GOING ON AROUND THEM DURING OPERATIONS.  
I HAVE CONTACTED THE BASE ABOUT THE CONDITION OF THE EAR PRO AND WE ARE SATISFIED WITH THE CONDITION OF THE EAR PRO.</t>
  </si>
  <si>
    <t>2YTHDF52763800</t>
  </si>
  <si>
    <t xml:space="preserve">
Sales Order #: 2276478038
RTD Screening Code: DOD
Reason for Rejection: Y9</t>
  </si>
  <si>
    <t>THE COLUMBUS POLICE DEPARTMENT WILL USE THIS UAS TO ASSIST WITH SEARCH AND RESCUE EFFORTS IN RURAL AREAS AND TO ASSIST IN SURVEYING AREAS FOLLOWING NATURAL DISASTERS.</t>
  </si>
  <si>
    <t>2YTCPL52693704</t>
  </si>
  <si>
    <t xml:space="preserve">
Sales Order #: 2276428058
RTD Screening Code: DOD
Reason for Rejection: BQ</t>
  </si>
  <si>
    <t>THE BRISTOL POLICE DEPARTMENT WOULD FIX THIS TRUCK AND ASSIGN IT TO OUR EVIDENCE TECHNICIAN FOR TRANSPORTING EVIDENCE TO AND FROM THE CRIME LAB. THE BASE STATES THE TRUCK JUST NEEDS A BATTERY.</t>
  </si>
  <si>
    <t>2YTBJQ52763832</t>
  </si>
  <si>
    <t xml:space="preserve">
Sales Order #: 2276511621
RTD Screening Code: DOD
Reason for Rejection: Y9</t>
  </si>
  <si>
    <t>IF AWARDED THESE WOULD BE ISSUED TO MEMBERS OF THE SHERIFFS SWAT TEAM FOR EYE PROTECTION. THE ONES WE HAVE NOW ARE SCRATCHED AND IN NEED OF REPLACEMENT.</t>
  </si>
  <si>
    <t>FACESHIELD,INDUSTRI</t>
  </si>
  <si>
    <t>2YTM9S52763943</t>
  </si>
  <si>
    <t>THESE KITS WILL BE ISSUED TO MEMBERS OF OUR ESF 13 TEAM THAT DEPLOYS WITH FEMA TO DISASTER AREAS</t>
  </si>
  <si>
    <t>2YTSXU52763887</t>
  </si>
  <si>
    <t>MONTGOMERY CSO NEEDS THIS ROBOT FOR ITS SRT TEAM AND WILL BE USED FOR HOSTAGE RESCUES, CRISIS NEGOTIATIONS, BARRICADED SUBJECTS, ACTIVE SHOOTERS, VIOLENT CRIMINAL APPREHENSION, HOMELAND SECURITY, MUTUAL AID, NATURAL DISASTERS OR ANY TIME THAT IT WOULD NOT BE SAFE TO USE AGENCY PERSONNEL.</t>
  </si>
  <si>
    <t>2YTHYP53044011</t>
  </si>
  <si>
    <t xml:space="preserve">
Sales Order #: 2276566318
RTD Screening Code: DOD
Reason for Rejection: BQ</t>
  </si>
  <si>
    <t>IF ACQUIRED, THIS WILL BE USED FOR TACTICAL OPERATIONS WITH THE MASON COUNTY SHERIFF'S OFFICE. CONDITION WAS CONFIRMED WITH DLA COLUMBUS.</t>
  </si>
  <si>
    <t>2YTHD952694063</t>
  </si>
  <si>
    <t>THIS FORKLIFT WOULD BE USED TO LOAD AND UNLOAD LAW ENFORCEMENT EQUIPMENT AT SHERIFF'S OFFICE BUILDINGS.</t>
  </si>
  <si>
    <t>2YTGAF52763864</t>
  </si>
  <si>
    <t>FULLY ENCLOSED FORKLIFT WITH HEATED CAB NEEDED FOR THE KANE COUNTY SHERIFFS OFFICE FOR THE LOADING AND UNLOADING OF EQUIPMENT DURING INCLEMENT WEATHER THAT WE EXPERIENCE EVERY WINTER IN THE CHICAGOLAND AREA.  WE CURRENTLY DO NOT HAVE A LOADING DOCK AT OUR FLEET SERVICES BUILDING AND RECEIVING PALLETIZED DELIVERIES FROM SEMI TRUCKS IS CHALLENGING DURING BAD WEATHER.</t>
  </si>
  <si>
    <t>2YTF3G52764078</t>
  </si>
  <si>
    <t>FOR USE BY THE HIGH RISK UNIT OF THE POLICE DEPARTMENT AND THE DRUG TASK FORCE FOR SURVEILLANCE OPERATIONS AS WELL AS SEARCH AND RESCUE.</t>
  </si>
  <si>
    <t>2YTESZ52763997</t>
  </si>
  <si>
    <t>GREAT FALLS POLICE DEPT (2YTESZ)</t>
  </si>
  <si>
    <t>FOR USE WITH THE HIGH RISK UNIT OF THE POLICE DEPARTMENT AND DRUG TASK FORCE FOR SURVEILLANCE OPERATIONS AND SEARCH AND RESCUE OPERATIONS.</t>
  </si>
  <si>
    <t>2YTESZ52763991</t>
  </si>
  <si>
    <t xml:space="preserve">
Sales Order #: 2276437667
RTD Screening Code: DOD
Reason for Rejection: Y9</t>
  </si>
  <si>
    <t>2YTRAR5266JG01</t>
  </si>
  <si>
    <t xml:space="preserve">
Sales Order #: 2268825581
RTD Screening Code: DOD
Reason for Rejection: YH</t>
  </si>
  <si>
    <t>THE AUGUSTA POLICE DEPARTMENT IS IN NEED OF A VESSEL TO PATROL LAKE EAU CLAIRE.</t>
  </si>
  <si>
    <t>2YTRJ551575065</t>
  </si>
  <si>
    <t xml:space="preserve">
Sales Order #: 2269648202
RTD Screening Code: DOD
Reason for Rejection: YH</t>
  </si>
  <si>
    <t>THIS SLEEPING KIT WILL BE ISSUED TO AN AGENT WHO RESPONDS WITH FEMA AS PART OF OUR ESF 13 TEAM</t>
  </si>
  <si>
    <t>2YTSXU51716283</t>
  </si>
  <si>
    <t xml:space="preserve">
Sales Order #: 2271362913
RTD Screening Code: DOD
Reason for Rejection: YH</t>
  </si>
  <si>
    <t>FUEL TRUCK WILL BE USED BY THE GREENE COUNTY SHERIFFS OFFICE TO TRANSPORT FUEL DURING A DISASTER TO KEEP OUR DISASTER RESPONSE EQUIPMENT AND VEHICLES RUNNING. THIS WILL ALLOW A WAY TO FUEL WHEN POWER IS DOWN AND WE ARE UNABLE TO FUEL UP AT OUR FLEET PUMPS.</t>
  </si>
  <si>
    <t>2YTET651927852</t>
  </si>
  <si>
    <t xml:space="preserve">
Sales Order #: 2274133085
RTD Screening Code: DOD
Reason for Rejection: YH</t>
  </si>
  <si>
    <t>THIS VEHICLE WOULD BENEFIT THIS AGENCY AND OUR OFFICERS BY ALLOWING US TO UTILIZE THIS ASSET ONE AS A PATROL VEHICLE AND TWO AS A VEHICLE TO PULL OUR EMERGENCY RESPONSE TRAILER, CRIME SCENE TRAILER, AND TO HAUL OUR UTV VEHICLE TO AND FROM THE AREAS THEY ARE NEEDED. WE WOULD REPAIR THIS VEHICLE AS NEEDED.</t>
  </si>
  <si>
    <t>2YTS0852410779</t>
  </si>
  <si>
    <t xml:space="preserve">
Sales Order #: 2276566371
RTD Screening Code: DON
Reason for Rejection: Y9</t>
  </si>
  <si>
    <t>THIS WILL BE USED BY LAW ENFORCEMENT AT THE JEFFERSON COUNTY SHERIFF'S OFFICE TO MAINTAIN THE BERMS OF THE PISTOL AND RIFLE RANGES</t>
  </si>
  <si>
    <t>2YTFX452411510</t>
  </si>
  <si>
    <t xml:space="preserve">
Sales Order #: 2274669858
RTD Screening Code: DOD
Reason for Rejection: YH</t>
  </si>
  <si>
    <t>THESE PONCHOS WILL BE ISSUED TO AGENTS WHO DEPLOY WITH FEMA AS PART OF OUR ESF 13 TEAM</t>
  </si>
  <si>
    <t>2YTSXU52411536</t>
  </si>
  <si>
    <t xml:space="preserve">
Sales Order #: 2274669843
RTD Screening Code: DOD
Reason for Rejection: YH</t>
  </si>
  <si>
    <t>2YTSXU52411535</t>
  </si>
  <si>
    <t xml:space="preserve">
Sales Order #: 2274669844
RTD Screening Code: DOD
Reason for Rejection: YH</t>
  </si>
  <si>
    <t>2YTSXU52411534</t>
  </si>
  <si>
    <t xml:space="preserve">
Sales Order #: 2275630435
RTD Screening Code: GSA
Reason for Rejection: Z2</t>
  </si>
  <si>
    <t>SO OFFICERS CAN MOUNT LIGHTS ON THEIR FIREARMS SO THEY CAN ACCURATELY IDENTIFY CIVILIANS AND SUSPECTS DURING ACTIVE SHOOTER AND SCHOOL SHOOTING SITUATIONS</t>
  </si>
  <si>
    <t>2YTHJZ52481751</t>
  </si>
  <si>
    <t xml:space="preserve">
Sales Order #: 2275503913
RTD Screening Code: DOD
Reason for Rejection: YH</t>
  </si>
  <si>
    <t>CAMP COUNTY SHERIFFS OFFICE REQUESTS THIS ITEM TO ASSIST WITH GENERAL PATROL FUNCTIONS AND COMMUNITY SERVICES.  CAMP COUNTY IS MAINLY A WOODED AREA WITH OFF TERRAIN FEATURES. WHEREAS THIS TYPE OF VEHICLE COULD BE USED TO SUPPORT SEARCH RESCUE OPERATIONS, GIVE US ACCESS TO PLACES WHEREAS A STANDARD POLICE VEHICLE COULD NOT.  CAMP COUNTY DOES NOT HAVE THE FUNDS TO SUPPORT SUCH A PURCHASE. THIS IS A ESSENTIAL NEEDS REQUEST</t>
  </si>
  <si>
    <t>2YTBWR52622443</t>
  </si>
  <si>
    <t>CAMP CSO (2YTBWR)</t>
  </si>
  <si>
    <t xml:space="preserve">
Sales Order #: 2275802804
RTD Screening Code: RTD2
Reason for Rejection: YH</t>
  </si>
  <si>
    <t>TPD REQUEST THIS WELDING MACHINE TO USE IN REPAIRING OUR DEPARTMENT OWNED VEHICLES, AND 10-33 VEHICLES. THEY WILL ALSO BE USED TO REPAIR AND UPDATE AND OTHER POLICE DEPARTMENT OWNED EQUIPMENT AND PROPERTY. SO THAT OFFICERS HAVE THE BEST EQUIPMENT TO HELP THEM IN RESPONSE TO TERRORIST AND MASS CASUALTY EVENTS.</t>
  </si>
  <si>
    <t>2YTL1552542641</t>
  </si>
  <si>
    <t xml:space="preserve">
Sales Order #: 2274483639
RTD Screening Code: DOD
Reason for Rejection: Y9</t>
  </si>
  <si>
    <t>2YTHYA52693166</t>
  </si>
  <si>
    <t xml:space="preserve">
Sales Order #: 2275755986
RTD Screening Code: DOD
Reason for Rejection: Y9</t>
  </si>
  <si>
    <t>THE TEHAMA COUNTY SHERIFF'S OFFICE WILL USE RIFLEMAN SET AS ISSUED GEAR TO DEPUTIES ASSIGNED TO RURAL OPERATIONS AND RURAL DRUG INTERDICTION.</t>
  </si>
  <si>
    <t>2YTLQ752693283</t>
  </si>
  <si>
    <t xml:space="preserve">
Sales Order #: 2274423649
RTD Screening Code: DOD
Reason for Rejection: Y9</t>
  </si>
  <si>
    <t>OUR AGENCY NEEDS THIS EQUIPMENT.  WILL BE USED BY REQUESTING AGENCY FOR LAW ENFORCEMENT PURPOSES ONLY.  WILL BE ISSUED TO POLICE OFFICERS - SWAT MEMBERS FOR DUTY USE WHILE OPERATING IN DARK ENVIRONMENTS.  WILL COORDINATE SHIPPING TO OUR AGENCY WHEN REQUISITION IS APPROVED.</t>
  </si>
  <si>
    <t>2YTHYA52693291</t>
  </si>
  <si>
    <t xml:space="preserve">
Sales Order #: 2274411407
RTD Screening Code: DOD
Reason for Rejection: YH</t>
  </si>
  <si>
    <t>TPD REQUEST THIS EQUIPMENT FOR OUR OFFICERS TO USE TO STAY PHYSICALLY FIT FOR RESPONDING TO ACTS OF TERROR OR MASS CASUALTY AND FOR DAILY CALLS OF SERVICE.</t>
  </si>
  <si>
    <t>2YTL1552623321</t>
  </si>
  <si>
    <t xml:space="preserve">
Sales Order #: 2276286558
RTD Screening Code: DOD
Reason for Rejection: Y9</t>
  </si>
  <si>
    <t>TOOL BOX WILL BE USED BY MEMBERS OF THE CLAREMONT POLICE DEPARTMENT FOR STORAGE OF TOOLS AND EQUIPMENT USED FOR THE MAINTENANCE OF DEPARTMENT VEHICLES AND OTHER RESOURCES.</t>
  </si>
  <si>
    <t>2YTCE252693608</t>
  </si>
  <si>
    <t xml:space="preserve">
Sales Order #: 2276505957
RTD Screening Code: DOD
Reason for Rejection: Y9</t>
  </si>
  <si>
    <t>THE PICKENS COUNTY SHERIFF'S OFFICE SPECIAL OPERATIONS, ALONG WITH SWAT TEAM, IS ACQUIRING THESE INTERNS TO ENHANCE THE SAFETY OF OUR DEPUTIES. THIS WILL ALLOW THEM TO POSITIVELY IDENTIFY LOCATIONS AND TARGETS, BUILDINGS, AND OTHER LOCATIONS, THEREBY REDUCING THE RISK OF VERBAL COMMUNICATION THAT COULD EXPOSE THEM TO POTENTIAL THREATS USING THESE MOUNTING SYSTEMS. I ACKNOWLEDGE AND ACCEPT THE CODE F.</t>
  </si>
  <si>
    <t>2YTJL952763899</t>
  </si>
  <si>
    <t xml:space="preserve">
Sales Order #: 2276443093
RTD Screening Code: DOD
Reason for Rejection: Y9</t>
  </si>
  <si>
    <t>THESE ITEMS WOULD BE USED BY THE ORANGE COUNTY SHERIFF'S DEPARTMENT. OUR QUARTERMASTER UNIT IS LOOKING FOR SIMILAR ITEMS FOR A NEW WORKSHOP TO SERVICE AND MAINTAIN NON-LETHAL PLATFORMS FOR THE DEPARTMENT'S PATROL, INVESTIGATIONS AND SPECIAL OPERATIONS DIVISIONS. THE ITEMS WOULD HELP STORE AND SECURE TOOLS AND PARTS FOR THE PLATFORMS</t>
  </si>
  <si>
    <t>2YT14Z52693920</t>
  </si>
  <si>
    <t xml:space="preserve">
Sales Order #: 2276484650
RTD Screening Code: DOD
Reason for Rejection: Y9</t>
  </si>
  <si>
    <t>2YT14Z52693919</t>
  </si>
  <si>
    <t xml:space="preserve">
Sales Order #: 2276547127
RTD Screening Code: DOD
Reason for Rejection: Y9</t>
  </si>
  <si>
    <t>OUR AGENCY NEEDS THIS EQUIPMENT.  WILL BE USED BY REQUESTING AGENCY FOR LAW ENFORCEMENT PURPOSES ONLY.  WILL BE ISSUED TO POLICE OFFICERS FOR SCANNING BARCODES IN THEIR PATROL VEHICLES.</t>
  </si>
  <si>
    <t>OPTICAL READER,DATA</t>
  </si>
  <si>
    <t>2YTHYA52764110</t>
  </si>
  <si>
    <t xml:space="preserve">
Sales Order #: 2276566346
RTD Screening Code: DOD
Reason for Rejection: Y9</t>
  </si>
  <si>
    <t>THE LIBBY POLICE DEPARTMENT WOULD USE THIS DRILL SET FOR THE MAINTENANCE OF OUR BUILDING AND PATROL CARS.</t>
  </si>
  <si>
    <t>2YTGP652764014</t>
  </si>
  <si>
    <t>LIBBY POLICE DEPARTMENT (2YTGP6)</t>
  </si>
  <si>
    <t xml:space="preserve">
Sales Order #: 2276566317
RTD Screening Code: DOD
Reason for Rejection: Y9</t>
  </si>
  <si>
    <t>THESE MARKERS WOULD BE USED FOR LAW ENFORCEMENT TRAINING.</t>
  </si>
  <si>
    <t>2YTGAF52693875</t>
  </si>
  <si>
    <t xml:space="preserve">
Sales Order #: 2276566367
RTD Screening Code: DOD
Reason for Rejection: Y9</t>
  </si>
  <si>
    <t>FOR USE BY THE HIGH RISK UNIT OF THE POLICE DEPARTMENT AND DRUG TASK FORCE FOR SURVEILLANCE OPERATIONS AND SEARCH AND RESCUE OPEATIONS.</t>
  </si>
  <si>
    <t>DRONE BODY,AIRCRAFT</t>
  </si>
  <si>
    <t>2YTESZ52763996</t>
  </si>
  <si>
    <t xml:space="preserve">
Sales Order #: 2276407645
RTD Screening Code: DOD
Reason for Rejection: Y9</t>
  </si>
  <si>
    <t>THE FULTON COUNTY SHERIFFS OFFICE IS REQUESTING THESE MONOCULARS SO DEPUTIES CAN UTILE THEM ON PATROL AND ON OUR SWAT TEAM. THESE WILL ALLOW DEPUTIES TO SEE DISTANCE IN OUR RURAL COUNTY</t>
  </si>
  <si>
    <t>2YTEED52763922</t>
  </si>
  <si>
    <t xml:space="preserve">
Sales Order #: 2276443097
RTD Screening Code: DOD
Reason for Rejection: Y9</t>
  </si>
  <si>
    <t>TOOL BOXES WILL BE USED BY MEMBERS OF THE CLAREMONT POLICE DEPARTMENT TO STORE TOOLS USED TO MAINTAIN DEPARTMENT EQUIPMENT.</t>
  </si>
  <si>
    <t>2YTCE252693942</t>
  </si>
  <si>
    <t xml:space="preserve">
Sales Order #: 2276484657
RTD Screening Code: DOD
Reason for Rejection: Y9</t>
  </si>
  <si>
    <t>TOOL BOX WILL BE USED BY MEMBERS OF THE CLAREMONT POLICE DEPARTMENT TO STORE TOOLS USED TO MAINTAIN DEPARTMENT EQUIPMENT.</t>
  </si>
  <si>
    <t>2YTCE252693935</t>
  </si>
  <si>
    <t xml:space="preserve">
Sales Order #: 2276553058
RTD Screening Code: DOD
Reason for Rejection: Y9</t>
  </si>
  <si>
    <t>ALLEGHENY COUNTY HOUSING AUTHORITY POLICE CAN USE THE DRONE FOR SURVEILLANCE, SEARCHING FOR MISSING CHILDREN, SEARCHING FOR ESCAPE OR MISSING SUSPECTS, AND TO GET A FEW DURING HIGHLY VOLATILE SITUATIONS.  OUR SITES ARE CONSIDERED HIGH CRIME AND GUN VIOLENCE AREAS WHERE A DRONE COULD PROVIDE OFFICER SAFETY.</t>
  </si>
  <si>
    <t>2YTAF852764080</t>
  </si>
  <si>
    <t>ALLEGHENY COUNTY HOUSING AUTH PD (2YTAF8)</t>
  </si>
  <si>
    <t>THE PICKENS COUNTY SHERIFF'S OFFICE SPECIAL OPERATIONS, ALONG WITH THE SWAT TEAM, IS ACQUIRING THIS ITEM WITH THE INTENTION OF SAFELY AND SECURELY STORING NIGHT VISION AND OTHER EQUIPMENT OBTAINED THROUGH THE 1033 PROGRAM, TO PREVENT THE POSSIBILITY OF DAMAGE OR SCRATCHES. I ACKNOWLEDGE AND ACCEPT THE CODE F.</t>
  </si>
  <si>
    <t>2YTJL952674235</t>
  </si>
  <si>
    <t>THIS ITEM IS TO BE USED BY THE MEMBERS OF THE HASBROUCK HEIGHTS POLICE DEPARTMENT ONLY. TO BE USED BY SWORN LAW ENFORCEMENT OFFICERS FOR AERIAL OPERATIONS FOR SEARCH AND RESCUE EFFORTS, SURVEILLANCE, AND TACTICAL RESPONSE.</t>
  </si>
  <si>
    <t>2YTQCV52764238</t>
  </si>
  <si>
    <t>HASBROUCK HEIGHTS POLICE DEPT (2YTQCV)</t>
  </si>
  <si>
    <t>FOR USE BY THIS LEA ONLY. TO BE USED BY THE LEOS OF THIS AGENCY. THIS RIGHT ANGLE POWER TOOL WILL BE UTILIZED TO SUPPORT LAW ENFORCEMENT OPERATIONS, EQUIPMENT REPAIR, AND MAINTENANCE NEEDS DURING CRITICAL INCIDENTS AND TRAINING.</t>
  </si>
  <si>
    <t>2YTEY452694245</t>
  </si>
  <si>
    <t>WE ARE A SMALL RURAL LAW ENFORCEMENT AGENCY AND WOULD UTILIZE THIS ITEM TO AID IN SEARCH AND RESCUE AND OTHER LAW ENFORCEMENT OPERATIONS AS NEEDED TO PROVIDE A HIGHER STANDARD OF SERVICE TO THE COMMUNITY IN WHICH WE SERVE. THIS ITEM WOULD ONLY BE USE BY SWORN LAW ENFORCEMENT OFFICERS WITHIN THIS AGENCY.</t>
  </si>
  <si>
    <t>2YTPML52764214</t>
  </si>
  <si>
    <t xml:space="preserve">
Sales Order #: 2246790969
RTD Screening Code: DOD
Reason for Rejection: YH</t>
  </si>
  <si>
    <t>I AM THE SUPPORT SERVICES CAPTAIN FOR THE BRISTOL TENNESSEE POLICE DEPARTMENT WHICH IS A LAW ENFORCEMENT AGENCY IN NORTHEAST TENNESSEE. I CAME ACROSS THIS VEHICLE WHICH WOULD ENHANCE OUR AGENCIES EFFECTIVENESS IN COMBATING ILLEGAL NARCOTIC ACTIVITY. A PROPERLY SUPPORTED DRUG ENFORCEMENT UNIT WITH A VEHICLE LIKE THIS WOULD HELP REDUCE DRUG-RELATED CRIME.</t>
  </si>
  <si>
    <t>2YTBJQ51645600</t>
  </si>
  <si>
    <t xml:space="preserve">
Sales Order #: 2269863038
RTD Screening Code: DOD
Reason for Rejection: YH</t>
  </si>
  <si>
    <t>2YTDCB51646138</t>
  </si>
  <si>
    <t xml:space="preserve">
Sales Order #: 2270903053
RTD Screening Code: DOD
Reason for Rejection: YH</t>
  </si>
  <si>
    <t>THIS ROBOT WILL GIVE OUR OFFICERS THE ABILITY TO LOOK IN STRUCTURES WITHOUT PLACING HUMAN LIFE IN DANGER.</t>
  </si>
  <si>
    <t>AF MEDIUM ROBOT EOD</t>
  </si>
  <si>
    <t>2YTJK251857305</t>
  </si>
  <si>
    <t xml:space="preserve">
Sales Order #: 2269907985
RTD Screening Code: DOD
Reason for Rejection: YH</t>
  </si>
  <si>
    <t>THE CHEMUNG COUNTY SSU WILL USE THESE ITEMS FOR LOW LIGHT OPERATIONS. WILLING TO ACCEPT THEM IN CURRENT CONIDTIONS.</t>
  </si>
  <si>
    <t>2YTB9M51998391</t>
  </si>
  <si>
    <t xml:space="preserve">
Sales Order #: 2272740130
RTD Screening Code: DOD
Reason for Rejection: YH</t>
  </si>
  <si>
    <t>THE NORTHAMPTON COUNTY SHERIFF'S OFFICE, A LAW ENFORCEMENT AGENCY, REQUESTS THIS PIECE OF EQUIPMENT BE ISSUED TO OUR AGENCY.  WE WILL USE THIS OFF-ROAD ATV FOR USE IN SEARCH AND RESCUE OPERATIONS.  ADDITIONALLY, OUR NARCOTIC INVESTIGATORS WILL USE THIS VEHICLE FOR MARIJUANA ERADICATION SEARCHES.</t>
  </si>
  <si>
    <t>2YT1QG52209229</t>
  </si>
  <si>
    <t xml:space="preserve">
Sales Order #: 2272907958
RTD Screening Code: DOD
Reason for Rejection: YH</t>
  </si>
  <si>
    <t>THE BELLA VISTA POLICE DEPARTMENT WOULD UTILIZE THIS MOBILE DENTAL UNIT AS A MOBILE COMMAND UNIT. IT WOULD MAINLY BE USED FOR LARGE OPERATIONS, SWAT OPERATIONS, SEARCH AND RESCUE OPERATIONS, AND SEVERE WEATHER EVENTS. THIS EQUIPMENT WILL BE USED FOR LAW ENFORCEMENT PURPOSES ONLY.</t>
  </si>
  <si>
    <t>2YTA2S52209477</t>
  </si>
  <si>
    <t xml:space="preserve">
Sales Order #: 2274247394
RTD Screening Code: DOD
Reason for Rejection: YH</t>
  </si>
  <si>
    <t>THIS CART SHALL BE USED FOR THE TRANSPORTATION OF HEAVY OR OVERWEIGHT ITEMS FROM VEHICLES, LEA QUARTERMASTER AND OTHER STORAGE LOCATIONS TO VEHICLES OR USE IN THE FIELD FOR TRAINING AND REAL WORLD DEPLOYMENTS.</t>
  </si>
  <si>
    <t>2YTRVE52411240</t>
  </si>
  <si>
    <t xml:space="preserve">
Sales Order #: 2274356704
RTD Screening Code: DOD
Reason for Rejection: YH</t>
  </si>
  <si>
    <t>THIS TRAILER SHALL BE KEPT ON SITE WITH LEA AND USED FOR THE DEPLOYMENT OF BARRIERS, ROAD CONES, TRANSPORTATION OF OTHER EQUIPMENT TO THE FIELD FOR USE IN TRAINING AND REAL WORLD EXERCISES. ALL MAINTENANCE WILL BE CONDUCTED BY LE IN ACCORDANCE WITH AGENCY POLICES AND LAWS.</t>
  </si>
  <si>
    <t>2YTRVE52411239</t>
  </si>
  <si>
    <t xml:space="preserve">
Sales Order #: 2274878371
RTD Screening Code: DOD
Reason for Rejection: YH</t>
  </si>
  <si>
    <t>FOR USE BY ON DUTY OSD OFFICERS ASSIGNED TO THE SHERIFF'S SEARCH AND RESCUE TEAM. INTENDED TO REPLACE AN EXISTING SYSTEM THAT IS CURRENTLY NON-FUNCTIONAL.</t>
  </si>
  <si>
    <t>2YT1WK52551873</t>
  </si>
  <si>
    <t xml:space="preserve">
Sales Order #: 2275145424
RTD Screening Code: DOD
Reason for Rejection: YH</t>
  </si>
  <si>
    <t>THE SPRINGFIELD TOWNSHIP POLICE DEPARTMENT MAINTAINS ITS OWN VEHICLE FLEET AND THIS PIECE OF EQUIPMENT WOULD AID IN THAT PROCESS.  THIS WOULD ENHANCE THE SAFETY OF THE OFFICERS WORKING ON THE VEHICLES BY PROVIDING A SAFE AND PROPER MACHINE TO CLEAN EQUIPMENT AND PARTS. THIS WILL BE STORED IN THE POLICE DEPARTMENT GARAGE</t>
  </si>
  <si>
    <t>PARTS WASHER</t>
  </si>
  <si>
    <t>2YTLEC52552114</t>
  </si>
  <si>
    <t xml:space="preserve">
Sales Order #: 2275259243
RTD Screening Code: DOD
Reason for Rejection: YG</t>
  </si>
  <si>
    <t>KITSAP COUNTY SHERIFF'S OFFICE EVIDENCE USE FOR PROPERTY SECTION. THIS WILL BE USED FOR STORAGE OF BIOLOGICAL SPECIMENS WHILE CRIMINAL CASES ARE PENDING ADJUDICATION.</t>
  </si>
  <si>
    <t>REFRIGERATOR,BLOOD</t>
  </si>
  <si>
    <t>2YTF9E52482159</t>
  </si>
  <si>
    <t>KITSAP COUNTY SHERIFF OFFICE (2YTF9E)</t>
  </si>
  <si>
    <t xml:space="preserve">
Sales Order #: 2275259290
RTD Screening Code: RTD2
Reason for Rejection: YG</t>
  </si>
  <si>
    <t>KITSAP COUNTY SHERIFF'S OFFICE PROPERTY AND EVIDENCE USE. WE WOULD LIKE TO USE THIS IN OUR IMPOUND LOT TO MOVE HEAVY ITEMS FOR STORAGE ON SHELVES.</t>
  </si>
  <si>
    <t>PALLET JACK</t>
  </si>
  <si>
    <t>DSPALLETJ</t>
  </si>
  <si>
    <t>2YTF9E52472165</t>
  </si>
  <si>
    <t xml:space="preserve">
Sales Order #: 2275348834
RTD Screening Code: DOD
Reason for Rejection: YH</t>
  </si>
  <si>
    <t>TPWD LE DIVISION REQUEST THE FORKLIFT FOR USE IN BOAT STORAGE AREAS FOR PERFORMING MAINTENANCE ON BOAT MOTORS AND TRAILERS. ALSO ANY OTHER APPLICABLE LE USE.</t>
  </si>
  <si>
    <t>2YTL2652622278</t>
  </si>
  <si>
    <t xml:space="preserve">
Sales Order #: 2275996660
RTD Screening Code: DOD
Reason for Rejection: Y9</t>
  </si>
  <si>
    <t>SO OFFICERS CAN PUT LIGHTS ON THEIR WEAPONS TO BE ABLE TO IDENTIFY SUBJECTS DURING ACTIVE SHOOTER AND SCHOOL SHOOTINGS WHERE THEY WILL BE INSIDE A BUILDING AND IT MAY BE DARK</t>
  </si>
  <si>
    <t>2YTHJZ52552774</t>
  </si>
  <si>
    <t xml:space="preserve">
Sales Order #: 2275996643
RTD Screening Code: DOD
Reason for Rejection: Y9</t>
  </si>
  <si>
    <t>THIS VEHICLE WOULD BE USED BY LAW ENFORCEMENT TO TRANSPORT PERSONNEL TO AND FROM SCENES.</t>
  </si>
  <si>
    <t>2YTGAF52692893</t>
  </si>
  <si>
    <t xml:space="preserve">
Sales Order #: 2274489031
RTD Screening Code: DOD
Reason for Rejection: Y9</t>
  </si>
  <si>
    <t>THE COLUMBUS POLICE DEPARTMENT WILL USE THIS VEHICLE TO MOVE EQUIPMENT AND PERSONNEL TO SCENES FOLLOWING NATURAL DISASTERS AND DURING ACTIVE THREAT TRAINING AND RESPONSE.</t>
  </si>
  <si>
    <t>2YTCPL52692827</t>
  </si>
  <si>
    <t xml:space="preserve">
Sales Order #: 2275755983
RTD Screening Code: DOD
Reason for Rejection: Y9</t>
  </si>
  <si>
    <t>BUTLER COUNTY SHERIFF'S OFFICE WILL USE THIS EQUIPMENT FOR STORING EQUIPMENT INSIDE, AND AT THE FIRING RANGE TO KEEP EQUIPMENT OUT OF THE WEATHER.</t>
  </si>
  <si>
    <t>2YTBQJ52693131</t>
  </si>
  <si>
    <t xml:space="preserve">
Sales Order #: 2274401479
RTD Screening Code: DOD
Reason for Rejection: Y9</t>
  </si>
  <si>
    <t>FOR POLICE USE IN WATER RECOVERY INCIDENTS</t>
  </si>
  <si>
    <t>2YTHZ852693381</t>
  </si>
  <si>
    <t xml:space="preserve">
Sales Order #: 2276400842
RTD Screening Code: DOD
Reason for Rejection: Y9</t>
  </si>
  <si>
    <t>THIS UNIT WOULD BE USED TO LIGHT UP A SCENE FOR LAW ENFORCEMENT PERSONNEL AND SEARCH AND RESCUE.</t>
  </si>
  <si>
    <t>2YTGAF52693477</t>
  </si>
  <si>
    <t xml:space="preserve">
Sales Order #: 2276379934
RTD Screening Code: DOD
Reason for Rejection: YG</t>
  </si>
  <si>
    <t>THE OSAGE COUNTY SHERIFFS OFFICE WILL USE THIS MONITOR IN THE DAILY OPERATIONS CRIMINAL INTERDICTION STAT CONTROL MONITORING AND OTHER DAILY OPERATION NEEDS.</t>
  </si>
  <si>
    <t>2YT16P52623563</t>
  </si>
  <si>
    <t xml:space="preserve">
Sales Order #: 2276470840
RTD Screening Code: DOD
Reason for Rejection: Y9</t>
  </si>
  <si>
    <t>PORTABLE LIGHT SYSTEM, TO BE USED BY SHERIFF'S OFFICE PERSONNEL AS A SCENE LIGHTING SYSTEM.  TO AID IN CRIME SCENE INVESTIGATION.</t>
  </si>
  <si>
    <t>2YTF7N52693650</t>
  </si>
  <si>
    <t xml:space="preserve">
Sales Order #: 2276470847
RTD Screening Code: DOD
Reason for Rejection: Y9</t>
  </si>
  <si>
    <t>OUR AGENCY NEEDS THIS EQUIPMENT.  WILL BE USED BY REQUESTING AGENCY FOR LAW ENFORCEMENT PURPOSES ONLY.  WILL BE ISSUED TO POLICE OFFICERS AND DEPARTMENT OFFICE STAFF FOR DAILY COMPUTER BASED TASKS.</t>
  </si>
  <si>
    <t>2YTHYA52763757</t>
  </si>
  <si>
    <t xml:space="preserve">
Sales Order #: 2276566361
RTD Screening Code: DOD
Reason for Rejection: Y9</t>
  </si>
  <si>
    <t>THESE MONITORS WOULD BE USED FOR LAW ENFORCEMENT PURPOSES AND FOR RECRUITING AND PR.</t>
  </si>
  <si>
    <t>2YTGAF52763866</t>
  </si>
  <si>
    <t xml:space="preserve">
Sales Order #: 2276632763
RTD Screening Code: DOD
Reason for Rejection: Y9</t>
  </si>
  <si>
    <t>THE OREGON COUNTY SHERIFF'S WILL USE THE STRUCTURES TO STORE PREVIOUSLY AWARDED EQUIPMENT IN TO PROTECT FROM WEATHER AND VANDALISM.  THIS WILL EXTEND THE SERVICE LIFE AND ENHANCE THE READINESS OF THE EMERGENCY EQUIPMENT.</t>
  </si>
  <si>
    <t>2YT15P52764248</t>
  </si>
  <si>
    <t xml:space="preserve">
Sales Order #: 2276639250
RTD Screening Code: DOD
Reason for Rejection: Y9</t>
  </si>
  <si>
    <t>2YT15P52694251</t>
  </si>
  <si>
    <t xml:space="preserve">
Sales Order #: 2276639248
RTD Screening Code: DOD
Reason for Rejection: Y9</t>
  </si>
  <si>
    <t>2YT15P52694250</t>
  </si>
  <si>
    <t xml:space="preserve">
Sales Order #: 2276632760
RTD Screening Code: DOD
Reason for Rejection: Y9</t>
  </si>
  <si>
    <t>2YT15P52694249</t>
  </si>
  <si>
    <t>THE LOCHBUIE POLICE DEPARTMENT IS A SMALL RURAL DEPARTMENT WITH A LIMITED BUDGET. WITH THAT BEING SAID IT WOULD BENEFIT OUR OFFICERS GREATLY IF WE COULD PROVIDE THEM WITH PROPER HEARING PROTECTION DURING FIREARMS TRAINING OR OTHER LOUD EVENTS. IT WOULD BE GREAT TO BE ABLE TO ISSUE ONE SET TO EACH OFFICER.</t>
  </si>
  <si>
    <t>2YTGVE50456465</t>
  </si>
  <si>
    <t xml:space="preserve">
Sales Order #: 2274138010
RTD Screening Code: DOD
Reason for Rejection: YH</t>
  </si>
  <si>
    <t>THE SCOTLAND COUNTY SHERIFF'S OFFICE IN NORTH CAROLINA IS LOOKING TO ADD A TACTICAL ROBOT TO OUR SWAT TEAM.  THE ADDITION OF THIS ROBOT WOULD GREATLY INCREASE OUR OFFICER SAFETY AS WELL AS ASSIST DURING SEARCH AND RESCUE OPERATIONS</t>
  </si>
  <si>
    <t>2YTKUK52620639</t>
  </si>
  <si>
    <t xml:space="preserve">
Sales Order #: 2274597813
RTD Screening Code: DOD
Reason for Rejection: YG</t>
  </si>
  <si>
    <t>REQUESTING A THIS BOX VAN FOR USE AS A MOBILE INCIDENT COMMAND VEHICLE FOR THE CITY OF DELAVAN. POLICE OFFICERS FROM THE DELAVAN POLICE DEPARTMENT WILL OPERATE THE UNIT TO SUPPORT INCIDENT COMMAND, COMMUNICATIONS, AND INTERAGENCY COORDINATION DURING EMERGENCIES, SPECIAL EVENTS, AND DISASTERS, ENHANCING PUBLIC SAFETY RESPONSE CAPABILITIES.</t>
  </si>
  <si>
    <t>2YTC8P52411405</t>
  </si>
  <si>
    <t xml:space="preserve">
Sales Order #: 2275503944
RTD Screening Code: DOD
Reason for Rejection: YG</t>
  </si>
  <si>
    <t>TO BE USED BY OFFICERS WITH THE MAYSVILLE POLICE DEPARTMENT. FOR SECOND STORY RESCUES, SEARCHES, AND RECOVERIES.  WE HAVE TWO STORY BUILDING WITHIN OUR CITY LIMITS. AND ALSO, ARE ON TRACK TO GETTING A MOTEL WITHIN THE NEXT YEAR.   OFFICERS WOULD ALSO USE IT FOR A SPOTTING TOWER AT OUR PD SHOOTING RANGE.</t>
  </si>
  <si>
    <t>2YTHFN52622452</t>
  </si>
  <si>
    <t xml:space="preserve">
Sales Order #: 2275503918
RTD Screening Code: DOD
Reason for Rejection: YH</t>
  </si>
  <si>
    <t>THIS ITEM WILL BE USED BY THE GREENFIELD POLICE DEPARTMENT. THIS ITEM WILL BE STORED AT THE POLICE DEPARTMENT. THIS ITEM WILL GREATLY BENEFIT THE POLICE DEPARTMENT BY GIVING US SOME OF THE EQUIPMENT WE NEED TO BUILD OUR FIRING RANGE. THIS ITEM WILL ALSO HELP WITH UPKEEP AND MAINTENANCE OF THE RANGE ONCE WE GET IT BUILT.</t>
  </si>
  <si>
    <t>2YTEUJ52622456</t>
  </si>
  <si>
    <t xml:space="preserve">
Sales Order #: 2275630433
RTD Screening Code: GSA
Reason for Rejection: YH</t>
  </si>
  <si>
    <t>THE FAYETTEVILLE POLICE DEPARTMENT REQUESTS A DECOMMISSIONED MILITARY GENERATOR TO PROVIDE RELIABLE BACKUP POWER FOR OUR MOBILE COMMAND POST. DURING SEVERE WEATHER, POWER OUTAGES, OR LARGE-SCALE EMERGENCIES, THIS UNIT WOULD ENSURE UNINTERRUPTED OPERATION OF RADIOS, COMPUTERS, AND COMMUNICATIONS EQUIPMENT CRITICAL TO PUBLIC SAFETY. IT WOULD ALSO ALLOW US TO POWER LIGHTING, SURVEILLANCE TOOLS, AND STAGING AREAS DURING EXTENDED INCIDENTS OR REMOTE OPERATIONS. FOR A SMALL RURAL DEPARTMENT WITH LIMIT</t>
  </si>
  <si>
    <t>2YTD1D52552375</t>
  </si>
  <si>
    <t xml:space="preserve">
Sales Order #: 2275996681
RTD Screening Code: DOD
Reason for Rejection: Y9</t>
  </si>
  <si>
    <t>TO BE UTILIZED BY THE LAKEVILLE POLICE DEPARTMENT AND ISSUED TO OFFICERS AND ATTACHED TO THE UNIFORM TO PROVIDE HANDS FREE LIGHT DURING CRIMINAL INVESTIGATIONS AND SEARCHES IN LOW LIGHT CONDITIONS.</t>
  </si>
  <si>
    <t>2YTGG752693021</t>
  </si>
  <si>
    <t xml:space="preserve">
Sales Order #: 2276659712
RTD Screening Code: DOD
Reason for Rejection: Y9</t>
  </si>
  <si>
    <t>FOR USE BY RESCUE AND LE TEAMS TO SEE IN LOW LIGHT AND THE DARK DURING TRAINING AND OPERATIONS FOR OFFICER SAFETY AND FOR SEARCHING FOR INJURED PERSONNEL.</t>
  </si>
  <si>
    <t>2YTMGW52692919</t>
  </si>
  <si>
    <t xml:space="preserve">
Sales Order #: 2276428061
RTD Screening Code: DOD
Reason for Rejection: Y9</t>
  </si>
  <si>
    <t>FOR USE BY ON DUTY OSD OFFICERS ASSIGNED TO THE SHERIFF'S REPAIR AND VEHICLE MAINTENANCE SECTION. THIS WILL PROVIDE A PORTABLE TORCH SYSTEM FOR PERSONNEL WHEN REQUIRED TO MAKE CUTS TO EQUIPMENT IN HARDER TO REACH AREAS.</t>
  </si>
  <si>
    <t>TORCH OUTFIT,WELDING,GAS SHIELDED ARC</t>
  </si>
  <si>
    <t>2YT1WK52693775</t>
  </si>
  <si>
    <t>WILL BE UTILIZED BY DEA SRT DURING DESERT INTERDICTION ENFORCEMENT OPERATIONS</t>
  </si>
  <si>
    <t>2YTQK952763772</t>
  </si>
  <si>
    <t xml:space="preserve">
Sales Order #: 2276428062
RTD Screening Code: DOD
Reason for Rejection: Y9</t>
  </si>
  <si>
    <t>THIS ITEM WILL BE USED EXCLUSIVELY BY LEOS FROM THIS LEA. THIS ITEM WILL ASSIST OFFICERS IN RESPONDING TO EMERGENCIES, MEDICAL EMERGENCIES, SWIMMERS IN DISTRESS, AND MISSING PERSONS ON THE BEACH.</t>
  </si>
  <si>
    <t>2YTK2052763810</t>
  </si>
  <si>
    <t xml:space="preserve">
Sales Order #: 2276428083
RTD Screening Code: DOD
Reason for Rejection: Y9</t>
  </si>
  <si>
    <t>THE NORMANDY POLICE DEPARTMENT WILL UTILIZE THESE THREE WHEELED ALL-TERRAIN VEHICLES FOR OFFICERS ASSIGNED TO NATURAL DISASTER RESPONSE, SEARCH AND RESCUE MISSIONS, INCIDENTS OF CIVIL UNREST, OR MASS CASUALTY EVENTS, WHERE TRADITIONAL VEHICLES AND METHODS OF RESPONSE MAY BE LIMITED OR INEFFECTIVE.</t>
  </si>
  <si>
    <t>2YT0M452763860</t>
  </si>
  <si>
    <t xml:space="preserve">
Sales Order #: 2276566315
RTD Screening Code: DOD
Reason for Rejection: Y9</t>
  </si>
  <si>
    <t>THESE WILL BE USED FOR PCSO SEARCH AND RESCUE OPERATIONS IN REMOTE REGIONS OF PIERCE COUNTY.</t>
  </si>
  <si>
    <t>2YTJMP52763984</t>
  </si>
  <si>
    <t xml:space="preserve">
Sales Order #: 2276484665
RTD Screening Code: DOD
Reason for Rejection: Y9</t>
  </si>
  <si>
    <t>THESE ITEMS WOULD BE USED BY THE ORANGE COUNTY SHERIFF'S DEPARTMENT. THESE ITEMS WOULD BE ISSUED TO OUR ARMORY AND SWAT DIVISIONS TO BE USED ON DEPARTMENT ISSUED WEAPONS TO BE USED WHILE ON DUTY OR DURING TRAINING. THE ITEMS COULD BE USED ON NEW WEAPONS, REPLACE BROKEN LIGHTS OR USED AS BACKUP SURPLUS</t>
  </si>
  <si>
    <t>2YT14Z52763946</t>
  </si>
  <si>
    <t xml:space="preserve">
Sales Order #: 2276505054
RTD Screening Code: DOD
Reason for Rejection: Y9</t>
  </si>
  <si>
    <t>WE ARE IN NEED OF GOOD WEAPON LIGHTS THAT WE CAN PUT ON OUR PATROL RIFLES TO INCREASE THE EFFECTIVENESS OF OUR PATROL RIFLE DURING OFFICERS NIGHT TIME DUTIES.  
I HAVE CONTACTED THE BASE AND WE ARE SATISFIED WITH THE CONDITION OF THE LIGHTS.</t>
  </si>
  <si>
    <t>2YTHDF52693941</t>
  </si>
  <si>
    <t xml:space="preserve">
Sales Order #: 2276407693
RTD Screening Code: DOD
Reason for Rejection: Y9</t>
  </si>
  <si>
    <t>THE LIBBY POLICE DEPARTMENT WOULD USE THIS TRUCK FOR THE TRANSPORTATION AND ACQUISITION OF GEAR AND EQUIPMENT. IT WOULD ALSO BE USED FOR THE TRANSPORTATION OF OFFICERS TO TRAININGS.</t>
  </si>
  <si>
    <t>2YTGP652763993</t>
  </si>
  <si>
    <t xml:space="preserve">
Sales Order #: 2276566337
RTD Screening Code: DOD
Reason for Rejection: Y9</t>
  </si>
  <si>
    <t>THIS TRUCK WOULD BE USED FOR LAW ENFORCEMENT TO MOVE EQUIPMENT IN BETWEEN FACILITIES.</t>
  </si>
  <si>
    <t>2YTGAF52763869</t>
  </si>
  <si>
    <t xml:space="preserve">
Sales Order #: 2276566358
RTD Screening Code: DOD
Reason for Rejection: Y9</t>
  </si>
  <si>
    <t>THESE ATV'S WOULD BE USED FOR LAW ENFORCEMENT SEARCH AND RESCUE UNITS. WE HAVE OVER 250,000 ACRES OF NATIONAL FOREST IN OUR COUNTY AND RESPOND USING SIMILAR SPECIAL EQUIPMENT.</t>
  </si>
  <si>
    <t>2YTGAF52763863</t>
  </si>
  <si>
    <t xml:space="preserve">
Sales Order #: 2276625874
RTD Screening Code: DOD
Reason for Rejection: Y9</t>
  </si>
  <si>
    <t>FOR USE BY RESCUE AND LE TEAMS TO  SEE IN LOW LIGHT AND IN THE DARK DURING TRAINING AND IN THE FIELD FOR OFFICER SAFETY AND LOOKING FOR INJURED PERSONNEL</t>
  </si>
  <si>
    <t>2YTMGW52763913</t>
  </si>
  <si>
    <t xml:space="preserve">
Sales Order #: 2276407702
RTD Screening Code: DOD
Reason for Rejection: Y9</t>
  </si>
  <si>
    <t>THE CAMPBELL POLICE DEPARTMENT WOULD USE THIS ALL-TERRAIN VEHICLE FOR SEARCH AND RESCUE OPERATIONS, TRAINING, AND COMMUNITY EVENTS.</t>
  </si>
  <si>
    <t>2YTBW152763958</t>
  </si>
  <si>
    <t>CAMPBELL POLICE DEPT (2YTBW1)</t>
  </si>
  <si>
    <t xml:space="preserve">
Sales Order #: 2276566370
RTD Screening Code: DOD
Reason for Rejection: Y9</t>
  </si>
  <si>
    <t>THESE ATV'S WILL BE USED BY THE BONNER COUNTY SHERIFF'S OFFICE FOR BACK ROAD PATROL DUTIES.</t>
  </si>
  <si>
    <t>2YTBDC52764038</t>
  </si>
  <si>
    <t>BONNER COUNTY SHERIFF OFFICE (2YTBDC)</t>
  </si>
  <si>
    <t xml:space="preserve">
Sales Order #: 2276407698
RTD Screening Code: DOD
Reason for Rejection: Y9</t>
  </si>
  <si>
    <t>2YTBDC52764035</t>
  </si>
  <si>
    <t xml:space="preserve">
Sales Order #: 2276632495
RTD Screening Code: DOD
Reason for Rejection: Y9</t>
  </si>
  <si>
    <t>WILL BE PLACED ON PATROL RIFLES FOR ASHVILLE POLICE DEPARTMENT OFFICERS</t>
  </si>
  <si>
    <t>2YTN5W52694114</t>
  </si>
  <si>
    <t xml:space="preserve">
Sales Order #: 2276672329
RTD Screening Code: DOD
Reason for Rejection: Y9</t>
  </si>
  <si>
    <t>THE WEAPONS LIGHTS WILL BE USED BY THE ARP POLICE DEPARTMENT FOR LAW ENFORCEMENT PURPOSES ONLY. OFFICERS WILL USE THE WEAPONS LIGHTS WHILE ON DUTY. THE PREVIOUS FLASHLIGHTS THAT ARP PD WERE AWARDED WERE SEVERELY DAMAGED AND UNSERVICEABLE. THE DESCRIPTION STATES THAT THESE ARE BRAND NEW STILL IN THE PACKAGE.</t>
  </si>
  <si>
    <t>2YTANX52694126</t>
  </si>
  <si>
    <t>TPD REQUEST THESE LIGHT KITS FOR OUR OFFICERS TO USE ON THEIR ISSUED LONG GUNS TO PROVIDE LIGHT FOR VISIBILITY WHEN RESPONDING TO ACTS OF TERROR AND MASS CASUALTY.</t>
  </si>
  <si>
    <t>2YTL1552694227</t>
  </si>
  <si>
    <t xml:space="preserve">
Sales Order #: 2276631179
RTD Screening Code: DOD
Reason for Rejection: Y9</t>
  </si>
  <si>
    <t>THE PICKENS COUNTY SHERIFF'S OFFICE SPECIAL OPERATIONS, ALONG WITH SWAT TEAM, IS ACQUIRING THESE INTERNS TO ENHANCE THE SAFETY OF OUR DEPUTIES. THIS WILL ALLOW THEM TO POSITIVELY IDENTIFY LOCATIONS AND TARGETS, BUILDINGS, AND OTHER LOCATIONS, THEREBY REDUCING THE RISK OF VERBAL COMMUNICATION THAT COULD EXPOSE THEM TO POTENTIAL THREATS USING THESE MOUNTING SYSTEMS. I ACKNOWLEDGE AND ACCEPT THE CODE H.</t>
  </si>
  <si>
    <t>2YTJL952694226</t>
  </si>
  <si>
    <t xml:space="preserve">
Sales Order #: 2276625881
RTD Screening Code: DOD
Reason for Rejection: Y9</t>
  </si>
  <si>
    <t>PERSON COUNTY CAN USE THIS ITEM TO EQUIP THE SRT MEMBERS WITH LIGHT FOR THEIR RIFLES TO BE ABLE TO SEE AT NIGHT TIME OPERATIONS</t>
  </si>
  <si>
    <t>2YTJKM52694241</t>
  </si>
  <si>
    <t>2YTQY152694199</t>
  </si>
  <si>
    <t xml:space="preserve">
Sales Order #: 2276659844
RTD Screening Code: DOD
Reason for Rejection: Y9</t>
  </si>
  <si>
    <t>THIS WOULD BE USED BY THE WILLIAMS COUNTY SHERIFFS OFFICE FOR CLEANING OUR DUTY WEAPONS</t>
  </si>
  <si>
    <t>CLEANER,ULTRASONIC</t>
  </si>
  <si>
    <t>2YTNPZ52764349</t>
  </si>
  <si>
    <t>WILLIAMS COUNTY SHERIFF OFFICE (2YTNPZ)</t>
  </si>
  <si>
    <t xml:space="preserve">
Sales Order #: 2276665986
RTD Screening Code: DOD
Reason for Rejection: BQ</t>
  </si>
  <si>
    <t>THE POLICE DEPARTMENT NEEDS THIS VEHICLE TO HELP WITH DRUG ENFORCEMENT. TELLICO PLAINS POLICE DEPARTMENT ASSUMES ALL COST AND RESPONSIBILITIES.</t>
  </si>
  <si>
    <t>2YTLRG52764286</t>
  </si>
  <si>
    <t xml:space="preserve">
Sales Order #: 2276659836
RTD Screening Code: DOD
Reason for Rejection: Y9</t>
  </si>
  <si>
    <t>THESE UNITS WOULD BE ISSUED TO OFFICERS FOR HEARING PROTECTION AND RADIO TRANSMISSIONS DURING LIVE FIRE, BOTH DURING CRITICAL INCIDENTS AND DURING TRAINING, PROTECTING OFFICERS HEARING, AND ALLOWING THEM TO BE ABLE TO STILL UTILIZE THEIR RADIOS</t>
  </si>
  <si>
    <t>2YT1XS52694347</t>
  </si>
  <si>
    <t xml:space="preserve">
Sales Order #: 2276677415
RTD Screening Code: DOD
Reason for Rejection: Y9</t>
  </si>
  <si>
    <t>THE NORMANDY POLICE DEPARTMENT WILL USE THIS PORTABLE GENERATOR FOR OFFICERS ASSIGNED TO NATURAL DISASTER RESPONSE, PROLONGED BARICADED SUBJECT INCIDENTS, MASS CASUALTY EVENTS, OR OTHER REMOTE NEEDS WHERE POWER IS NEEDED BUT TRADITIONAL OPTIONS ARE LIMITED.</t>
  </si>
  <si>
    <t>2YT0M452694283</t>
  </si>
  <si>
    <t>FOR USE BY LEO AND SWAT FOR HIGH RISK SCENARIOS SUCH AS ACTIVE SHOOTER AND HOSTAGE SITUATIONS AND ANY OTHER CRITICAL INCIDENTS. OUR AGENCY IS LOOKING TO BETTER SERVE OUR COMMUNITY AND PROTECT VENUES WHICH MAY BE TARGETED SUCH AS THE NUMEROUS SCHOOLS, CASINOS, HOTELS, AND CONCERT VENUES IN OUR DISTRICTS.I AM AWARE OF THE CONDITION CODE, CONFIRMED THE CONDITION AND ACCEPT THE ITEM AS IS.</t>
  </si>
  <si>
    <t>2YTSZX52694361</t>
  </si>
  <si>
    <t xml:space="preserve">
Sales Order #: 2276629171
RTD Screening Code: DOD
Reason for Rejection: Y9</t>
  </si>
  <si>
    <t>FOR USE BY THIS LEA ONLY. TO BE USED BY THE LEOS OF THIS AGENCY. THIS HEADSET WITH NATO PLUG WILL BE UTILIZED TO SUPPORT SECURE COMMUNICATIONS DURING LAW ENFORCEMENT OPERATIONS, CRITICAL INCIDENTS, AND TRAINING.</t>
  </si>
  <si>
    <t>2YTEY452694366</t>
  </si>
  <si>
    <t>FOR USE BY RESCUE AND LE TEAMS FOR HEARING PROTECTION AND COMMUNICATION DURING TRAINING AND FOR OPERATIONS FOR OFFICER SAFETY</t>
  </si>
  <si>
    <t>2YTMGW52694354</t>
  </si>
  <si>
    <t xml:space="preserve">
Sales Order #: 2274779978
RTD Screening Code: DOD
Reason for Rejection: YH</t>
  </si>
  <si>
    <t>FOR USE BY THIS LEA ONLY.  TO BE USED BY THE LEOS OF THIS AGENCY. DURING LAW ENFORCEMENT OPERATIONS AND HOMELAND SECURITY MISSIONS THAT REQUIRE ENHANCED VISIBILITY IN LOW-LIGHT AND NIGHTTIME CONDITIONS. I REACHED OUT TO THE BASE AND THEY CONFIRMED THE ITEM IS USABLE.</t>
  </si>
  <si>
    <t>2YTEY452411663</t>
  </si>
  <si>
    <t xml:space="preserve">
Sales Order #: 2275145460
RTD Screening Code: DOD
Reason for Rejection: YH</t>
  </si>
  <si>
    <t>2YTEY452552074</t>
  </si>
  <si>
    <t xml:space="preserve">
Sales Order #: 2275147393
RTD Screening Code: DOD
Reason for Rejection: YH</t>
  </si>
  <si>
    <t>THIS LEA RESPECTFULLY REQUESTS THE ABOVE ITEMS WHICH WILL HE UTILIZED DURING DEPARTMENTAL IN SERVICE TRAINING.  FORCE ON FORCE TRAINING PROMOTES CRITICAL THINKING THEREFORE ENHANCING OFFICER SAFETY.</t>
  </si>
  <si>
    <t>2YTG7Y52552123</t>
  </si>
  <si>
    <t xml:space="preserve">
Sales Order #: 2275259247
RTD Screening Code: DOD
Reason for Rejection: YH</t>
  </si>
  <si>
    <t>THIS LEA RESPECTFULLY REQUESTS THE ABOVE ITEMS WHICH WILL BE ISSUED TO OFFICERS TO ENHANCE THEIR SAFETY WHILE PERFORMING THEIR DUTIES.</t>
  </si>
  <si>
    <t>GLOVES,FLYERS'</t>
  </si>
  <si>
    <t>2YTG7Y52482116</t>
  </si>
  <si>
    <t xml:space="preserve">
Sales Order #: 2275147402
RTD Screening Code: DOD
Reason for Rejection: YH</t>
  </si>
  <si>
    <t>THIS LEA RESPECTFULLY REQUESTS THE ABOVE ITEM WHICH WILL BE UTILIZED DURING WATER RELATED CALLS.  THIS SUIT WILL ENHANCE THE SAFETY OF THE OFFICERS DURING THIS TYPE OF EVENT WHICH WILL ELEVATE THE CHANCE OF A POSITIVE OUTCOME.</t>
  </si>
  <si>
    <t>SUIT,SURVIVAL,COLD</t>
  </si>
  <si>
    <t>2YTG7Y52482099</t>
  </si>
  <si>
    <t xml:space="preserve">
Sales Order #: 2275996630
RTD Screening Code: DOD
Reason for Rejection: Y9</t>
  </si>
  <si>
    <t>PSP WILL USE THESE TO MOUNT OUR NVG'S TO USE DURING HIGH RISK WARRANT SERVICES AND BARRICADED GUN MEN CALLS.</t>
  </si>
  <si>
    <t>2YTJA952692996</t>
  </si>
  <si>
    <t xml:space="preserve">
Sales Order #: 2275996645
RTD Screening Code: DOD
Reason for Rejection: Y9</t>
  </si>
  <si>
    <t>THIS ITEM WILL BE USED EXCLUSIVELY BY LEOS FROM THIS LEA. THIS ITEM WILL BE USED TO TOW THIS LEAS FIREARMS QUALIFICATION TRAILER TO AND FROM OUR SHOOTING RANGE.</t>
  </si>
  <si>
    <t>2YTK2052692941</t>
  </si>
  <si>
    <t xml:space="preserve">
Sales Order #: 2274419673
RTD Screening Code: DOD
Reason for Rejection: Y9</t>
  </si>
  <si>
    <t>ONEONTA POLICE DEPARTMENT WILL USE THIS TRUCK TO HELP WITH UP KEEP OF OPDS HEAVY EQUIPMENT AND TO KEEP THEM FUELED UP.</t>
  </si>
  <si>
    <t>2YT13U52693102</t>
  </si>
  <si>
    <t xml:space="preserve">
Sales Order #: 2274419680
RTD Screening Code: DOD
Reason for Rejection: Y9</t>
  </si>
  <si>
    <t>ONEONTA POLICE DEPARTMENT WOULD USE THIS TRUCK TO REPLACE OUR PETERBUILT THAT HAS OVER A MILLION MILES NOW.  THIS WILL HELP OPD PICK UP ITEMS FROM DLA AND MOVE OPD'S HEAVY EQUIPMENT TO AREAS WE NEED IT AT.</t>
  </si>
  <si>
    <t>2YT13U52693101</t>
  </si>
  <si>
    <t xml:space="preserve">
Sales Order #: 2275996641
RTD Screening Code: DOD
Reason for Rejection: Y9</t>
  </si>
  <si>
    <t>VEH REQ BY THE LPD FOR THE USE BY THE SWORN LEO.BUDGETARY CONSTRAINTS DO NOT ALLOW FOR THE PURCHASE OF A MUCH NEEDED UNMARKED VEH FOR HAULING TRAINING RANGE SUPPLIES.THIS VEH WOULD REPLACE THE PREV REQUESTED VEH RECEIVED IN 2022 THAT IS BEYOND ITS SERVICE LIMITS AND BE ASSIGNED TO A MEMBER TO FACILITATE THOSE NEEDS.JUSTIFICATION LTR SUBMITTED TO OUR STATE PRGM REP PRIOR TO THIS REQ AND THE AGENCY UNDERSTANDS THEIR CONCERN OF ABUSE AND AGREE TO ADHERE TO ALL PROGRAMS RULES IN REGARDS THESE VEH</t>
  </si>
  <si>
    <t>2YTGXY52693005</t>
  </si>
  <si>
    <t xml:space="preserve">
Sales Order #: 2275996648
RTD Screening Code: DOD
Reason for Rejection: Y9</t>
  </si>
  <si>
    <t>FOR USE BY THIS LEA ONLY. TO BE USED BY THE LEOS OF THIS AGENCY. THIS WATER RESCUE TRUCK WILL BE UTILIZED DURING LAW ENFORCEMENT FLOOD RESPONSE, SWIFT WATER INCIDENTS, SEARCH AND RESCUE MISSIONS, AND HOMELAND SECURITY OPERATIONS.</t>
  </si>
  <si>
    <t>2YTEY452693113</t>
  </si>
  <si>
    <t xml:space="preserve">
Sales Order #: 2274483647
RTD Screening Code: DOD
Reason for Rejection: Y9</t>
  </si>
  <si>
    <t>THIS ITEM WILL ONLY BE USED BY THE GLEASON POLICE DEPARTMENT. THIS ITEM WILL BE USED FOR TRANSPORTING ITEM DURING TIMES OF EMERGENCY. THIS ITEM WILL BE USED TO TRANSPORT BARRIERS USED FOR EMERGENCY SITUATIONS. THIS ITEM WILL BE USED TO TRANSPORT ESSENTIAL EQUIPMENT FOR EMERGENCY SITUATIONS.</t>
  </si>
  <si>
    <t>2YTEMC52693087</t>
  </si>
  <si>
    <t xml:space="preserve">
Sales Order #: 2276625879
RTD Screening Code: DOD
Reason for Rejection: Y9</t>
  </si>
  <si>
    <t>2YTMGW52692917</t>
  </si>
  <si>
    <t xml:space="preserve">
Sales Order #: 2276632501
RTD Screening Code: DOD
Reason for Rejection: Y9</t>
  </si>
  <si>
    <t>FOR USE BY RESCUE AND LE TEAMS TO MOUNT GOOGLES, LIGHTS, COMMS, TO HELMETS DURING TRAINING AND OPERATIONS FOR OFFICER SAFETY AND FOR SEARCHING FOR INJURED PERSONNEL.</t>
  </si>
  <si>
    <t>2YTMGW52692916</t>
  </si>
  <si>
    <t xml:space="preserve">
Sales Order #: 2275996652
RTD Screening Code: DOD
Reason for Rejection: Y9</t>
  </si>
  <si>
    <t>THE BRISTOL POLICE DEPARTMENT WOULD USE THESE LIGHT SETS TO ILLUMINATE CRIME SCENES AT NIGHT SO DETECTIVES CAN COLLECT EVIDENCE AND WORK THE SCENE.</t>
  </si>
  <si>
    <t>2YTBJQ52693076</t>
  </si>
  <si>
    <t xml:space="preserve">
Sales Order #: 2275996699
RTD Screening Code: DOD
Reason for Rejection: Y9</t>
  </si>
  <si>
    <t>THE BRISTOL POLICE DEPARTMENT WOULD UTILIZE THIS PORTABLE GENERATOR DURING NATURAL DISASTERS OR POWER OUTAGES TO POWER ESSENTIAL EQUIPMENT TO CONTINUE PUBLIC SAFETY DUTIES.</t>
  </si>
  <si>
    <t>2YTBJQ52692943</t>
  </si>
  <si>
    <t xml:space="preserve">
Sales Order #: 2274489043
RTD Screening Code: DOD
Reason for Rejection: Y9</t>
  </si>
  <si>
    <t>THE AUGUSTA POLICE DEPARTMENT IS IN NEED OF A TRAILER TO TRANSPORT AND STORE LARGE EVIDENTIARY ITEMS.</t>
  </si>
  <si>
    <t>2YTRJ552692874</t>
  </si>
  <si>
    <t xml:space="preserve">
Sales Order #: 2274459600
RTD Screening Code: DOD
Reason for Rejection: Y9</t>
  </si>
  <si>
    <t>THE BARBED WIRE WILL BE USED BY THE ARP POLICE DEPARTMENT FOR LAW ENFORCEMENT PURPOSES ONLY. THE ARP PD SEIZURE LOT BACKS UP TO A WOODED AREA. RECENTLY AN UNKNOWN SUSPECT ATTEMPTED TO CUT THE FENCE TO GAIN ACCESS TO THE LOT. OFFICERS WILL PLACE THE WIRE ALONG THE BACKSIDE OF THE FENCE.</t>
  </si>
  <si>
    <t>2YTANX52692924</t>
  </si>
  <si>
    <t xml:space="preserve">
Sales Order #: 2274483651
RTD Screening Code: DOD
Reason for Rejection: Y9</t>
  </si>
  <si>
    <t>THIS ASSET WOULD BENEFIT OUR AGENCY AND OFFICERS BY ALLOWING US TO UTILIZE THIS FOR PATROLLING THE WATERWAYS IN OUR JURISDICTION AS WELL AS PERFORMING SEARCH RESCUE OR RECOVERY OPERATIONS DURING AND AFTER FLOODS. WE WOULD REPAIR THIS ASSET AS NECESSARY.</t>
  </si>
  <si>
    <t>2YTS0852693116</t>
  </si>
  <si>
    <t xml:space="preserve">
Sales Order #: 2274459606
RTD Screening Code: DOD
Reason for Rejection: Y9</t>
  </si>
  <si>
    <t>THE PICKENS COUNTY SHERIFF'S OFFICE SPECIAL OPERATIONS, ALONG WITH SWAT TEAM, IS ACQUIRING THESE INTERNS TO ENHANCE THE SAFETY OF OUR DEPUTIES. THIS WILL ALLOW THEM TO POSITIVELY IDENTIFY LOCATIONS AND TARGETS, BUILDINGS, AND OTHER LOCATIONS WHILE USING NIGHT VISION, THEREBY REDUCING THE RISK OF VERBAL COMMUNICATION THAT COULD EXPOSE THEM TO POTENTIAL THREATS USING THESE MOUNTING SYSTEMS. I ACKNOWLEDGE AND ACCEPT THE CODE H.</t>
  </si>
  <si>
    <t>2YTJL952693132</t>
  </si>
  <si>
    <t xml:space="preserve">
Sales Order #: 2274419671
RTD Screening Code: DOD
Reason for Rejection: Y9</t>
  </si>
  <si>
    <t>THIS WILL BE USED BY LAW ENFORCEMENT PERSONNEL AT THE JEFFERSON COUNTY SHERIFF'S OFFICE TO SERVICE AND MAINTAIN VEHICLES AND EQUIPMENT USED IN EVERYDAY OPERATIONS. TO INCLUDE PATROL VEHICLES THAT MAY NEED SERVICING WHILE ON DUTY</t>
  </si>
  <si>
    <t>2YTFX452693135</t>
  </si>
  <si>
    <t xml:space="preserve">
Sales Order #: 2275755990
RTD Screening Code: DOD
Reason for Rejection: Y9</t>
  </si>
  <si>
    <t>THIS WILL BE USED BY LAW ENFORCEMENT AT THE JEFFERSON COUNTY SHERIFF'S OFFICE TO CONSTRUCT A NEW PROPERTY ROOM BUILDING THAT WILL STORE EVIDENCE FROM ALL OPEN CASES. TO INCLUDE GUN, AND NARCOTICS CASES. IT WILL ALSO BE USED TO MAINTAIN DRAINAGE AT THE SHOOTING RANGE AND TRAINING FACILITY.</t>
  </si>
  <si>
    <t>2YTFX452693133</t>
  </si>
  <si>
    <t xml:space="preserve">
Sales Order #: 2276632492
RTD Screening Code: DOD
Reason for Rejection: Y9</t>
  </si>
  <si>
    <t>BURNSVILLE PD SWAT WILL USE THESE PVS15 NIGHT VISION GOGGLES FOR CONDUCTING LOW LIGHT TACTICAL LAW ENFORCEMENT OPERATIONS.  OUR MISSION SET INCLUDES COUNTER DRUG SEARCH WARRANT OPERATIONS AND COUNTER TERRORISM.  WE ARE AWARE THESE ARE CONDITION H.  WE HAVE CONTACTED THE SITE TO CHECK CONDITION AND WILL TAKE THEM AS THEY ARE.  WE HAVE HAD SUCCESS REPAIRING THIS TYPE OF GOGGLE.  OUR CURRENT GOGGLES ARE AGING AND IN NEED OF REPLACEMENT.</t>
  </si>
  <si>
    <t>2YTP2752693160</t>
  </si>
  <si>
    <t xml:space="preserve">
Sales Order #: 2276544699
RTD Screening Code: DOD
Reason for Rejection: Y9</t>
  </si>
  <si>
    <t>AST REQUESTS A POLARIS RANGER TO SUPPORT SWAT OPERATIONS, SAR MISSIONS, AND RURAL DEPLOYMENTS. ITS OFF-ROAD CAPABILITY ENABLES ACCESS TO REMOTE AREAS, AND IT WILL ALSO SERVE AS A CRITICAL ASSET FOR TRANSPORTING EQUIPMENT AND PERSONNEL AT TACTICAL RANGES AND BREACHING FACADES DURING TRAINING AND OPERATIONS.</t>
  </si>
  <si>
    <t>2YTPEJ52693149</t>
  </si>
  <si>
    <t xml:space="preserve">
Sales Order #: 2276544687
RTD Screening Code: DOD
Reason for Rejection: Y9</t>
  </si>
  <si>
    <t>AST REQUESTS THE FLATBED TRAILER TO ENHANCE OPERATIONAL READINESS AND MISSION SUPPORT. THE TRAILER WILL BE USED TO TRANSPORT ATVS AND SNOW MACHINES FOR RURAL DEPLOYMENTS, SAR MISSIONS, AND CRITICAL INCIDENT RESPONSES, IMPROVING STATEWIDE MOBILITY AND EFFICIENCY.</t>
  </si>
  <si>
    <t>2YTPEJ52693144</t>
  </si>
  <si>
    <t xml:space="preserve">
Sales Order #: 2275996644
RTD Screening Code: DOD
Reason for Rejection: Y9</t>
  </si>
  <si>
    <t>THE CHIPPER WILL USED BY THE OREGON COUNTY SHERIFF'S OFFICE FOR UPKEEP AND CLEARING OF SHERIFF'S OFFICE PROPERTIES TO ENHANCE PUBLIC SAFETY BY MINIMIZING FALL HAZARDS AND WILL BE UTILIZED TO CLEAR DEBRIS DURING EMERGENCY SITUATIONS.</t>
  </si>
  <si>
    <t>GARDENING IMPLEMENTS AND TOOLS</t>
  </si>
  <si>
    <t>DSLANDSCP</t>
  </si>
  <si>
    <t>2YT15P52693182</t>
  </si>
  <si>
    <t xml:space="preserve">
Sales Order #: 2274423670
RTD Screening Code: DOD
Reason for Rejection: Y9</t>
  </si>
  <si>
    <t>THE SPECIFIED TRUCK WILL BE DESIGNATED AS A MARKED POLICE VEHICLE FOR EXCLUSIVE USE BY THE POLICE DEPARTMENT. IT WILL BE OPERATED SOLELY BY TRAINED POLICE OFFICERS TO ENHANCE OFFICER SAFETY AND SUPPORT DEPARTMENTAL OPERATIONS.</t>
  </si>
  <si>
    <t>2YTH3452693198</t>
  </si>
  <si>
    <t xml:space="preserve">
Sales Order #: 2275996698
RTD Screening Code: DOD
Reason for Rejection: Y9</t>
  </si>
  <si>
    <t>THE FAYETTEVILLE POLICE DEPARTMENT REQUESTS AN EXCAVATOR TO CONSTRUCT AND MAINTAIN A SECURE FIREARMS TRAINING RANGE. A DEDICATED RANGE IS ESSENTIAL FOR OFFICERS TO MEET STATE-MANDATED QUALIFICATIONS, ENHANCE MARKSMANSHIP, AND TRAIN IN TACTICAL SCENARIOS. THE EXCAVATOR WILL BE USED TO BUILD BERMS, MOVE EARTH, AND ENSURE SAFETY BARRIERS, PROVIDING A COST-EFFECTIVE SOLUTION TO CREATE A CONTROLLED ENVIRONMENT FOR CRITICAL LAW ENFORCEMENT TRAINING.</t>
  </si>
  <si>
    <t>2YTD1D52693177</t>
  </si>
  <si>
    <t xml:space="preserve">
Sales Order #: 2275996691
RTD Screening Code: DOD
Reason for Rejection: Y9</t>
  </si>
  <si>
    <t>THE FAYETTEVILLE POLICE DEPARTMENT RESPECTFULLY REQUESTS THE ACQUISITION OF A PICKUP TRUCK. THE PICKUP TRUCK WILL FACILITATE THE TRANSPORTATION OF EQUIPMENT AND PERSONNEL DURING POST TORNADO CLEANUP. ITS OPEN BED ALLOWS FOR THE SECURE TRANSPORT OF ESSENTIAL MATERIALS SUCH AS TRAFFIC CONES, BARRICADES, AND OTHER NECESSARY GEAR DURING THESE EVENTS.</t>
  </si>
  <si>
    <t>2YTD1D52693175</t>
  </si>
  <si>
    <t xml:space="preserve">
Sales Order #: 2276379932
RTD Screening Code: DOD
Reason for Rejection: Y9</t>
  </si>
  <si>
    <t xml:space="preserve">FEDERAL SCREENER FOR DIVISION WITH 200 LAW ENFORCEMENT AGENTS TO INCLUDE 19 SWAT OPERATORS.  THESE WILL BE MOUNTED TO RIFLES TO ADD WHITE LIGHT AS THERE ARE MANY IN OUR DIVISION WHO DO NOT HAVE ONE.  THESE ALSO HAVE THE CAPABILITY TO USE IR LIGHT WITH NIGHT VISION.  BUDGET IS LIMITED AND ARE COST PROHIBITIVE TO PURCHASE.   
</t>
  </si>
  <si>
    <t>2YTQY152693266</t>
  </si>
  <si>
    <t xml:space="preserve">
Sales Order #: 2274413728
RTD Screening Code: DOD
Reason for Rejection: Y9</t>
  </si>
  <si>
    <t>I HAVE CONTACTED THE SITE AND CONFIRM AND ACCEPT THE CONDITION CODE OF THE ITEMS.  FEDERAL SCREENER FOR DIVISION WITH 200 LAW ENFORCEMENT AGENTS TO INCLUDE 19 SWAT OPERATORS.  THESE ARE UTILIZED TO MOUNT OUR NIGHT VISION TO OUR HELMETS.</t>
  </si>
  <si>
    <t>2YTQY152693255</t>
  </si>
  <si>
    <t xml:space="preserve">
Sales Order #: 2274413732
RTD Screening Code: DOD
Reason for Rejection: Y9</t>
  </si>
  <si>
    <t>2YTQY152693252</t>
  </si>
  <si>
    <t xml:space="preserve">
Sales Order #: 2275996627
RTD Screening Code: DOD
Reason for Rejection: Y9</t>
  </si>
  <si>
    <t>THIS VEHICLE WOULD BE USED BY OFFICERS OF THE DELAVAN POLICE DEPARTMENT FOR SPECIAL OPERATIONS AS WELL AS HAULING FOUND PROPERTY.  THIS WOULD ALSO TRANSPORT THE POLICE RADAR TRAILER AS WELL AS ACT A SPARE VEHICLE FOR SPECIAL EVENTS AND USED BY POLICE OFFICERS TO TRAVEL FOR TRAINING PROVIDING A MUCH NEEDED RESOURCE OUR DEPARTMENT LACKS CURRENTLY.</t>
  </si>
  <si>
    <t>2YTC8P52693200</t>
  </si>
  <si>
    <t xml:space="preserve">
Sales Order #: 2275755991
RTD Screening Code: DOD
Reason for Rejection: Y9</t>
  </si>
  <si>
    <t>CCSO, WOULD LIKE TO REQUEST THIS BOAT FOR OUR DIVE TEAM, WE ARE CURRENTLY USING A BOAT MANUFACTURED IN 1977, THIS WOULD BE A GREAT ADDITION TO OUR RESOURCES. THANK YOU</t>
  </si>
  <si>
    <t>2YTC2B52693209</t>
  </si>
  <si>
    <t xml:space="preserve">
Sales Order #: 2274226372
RTD Screening Code: DOD
Reason for Rejection: Y9</t>
  </si>
  <si>
    <t>2YTA2S52693258</t>
  </si>
  <si>
    <t xml:space="preserve">
Sales Order #: 2276188465
RTD Screening Code: DOD
Reason for Rejection: Y9</t>
  </si>
  <si>
    <t>OUR AGENCY IS PART OF A MULTI JURISDICTIONAL NARCOTICS TASK FORCE AS WELL AS A SPECIAL RESPONSE TEAM.  WE ARE IN NEED OF NV FOR NIGHT TIME OPERATIONS.  THIS WILL ENHANCE OFFICER SAFETY AND OPERATIONAL READINESS. CONFIRMED THE UNIT CONDITION.</t>
  </si>
  <si>
    <t>2YTAML52693276</t>
  </si>
  <si>
    <t>ARCHBOLD POLICE DEPARTMENT (2YTAML)</t>
  </si>
  <si>
    <t xml:space="preserve">
Sales Order #: 2274226380
RTD Screening Code: DOD
Reason for Rejection: Y9</t>
  </si>
  <si>
    <t>ALPENA COUNTY SHERIFFS DEPARTMENT
USED FOR PATROL OPERATIONS</t>
  </si>
  <si>
    <t>2YTAG352693262</t>
  </si>
  <si>
    <t xml:space="preserve">
Sales Order #: 2274144195
RTD Screening Code: DOD
Reason for Rejection: Y9</t>
  </si>
  <si>
    <t>WILL BE ASSIGNED TO INVESTIGATORS FOR DAILY USE DURING WORK HOURS.</t>
  </si>
  <si>
    <t>2YTNUS52693316</t>
  </si>
  <si>
    <t xml:space="preserve">
Sales Order #: 2274489054
RTD Screening Code: DOD
Reason for Rejection: Y9</t>
  </si>
  <si>
    <t>THE HICKMAN COUNTY SHERIFF'S OFFICE IS NEEDING A TRAILER LIKE THIS TO MOVE HEAVY EQUIPMENT DURING NATURAL DISASTERS AND MAINTAIN THEIR RANGE. TRAILER WILL ALSO BE USED TO HELP EMERGENCY MANAGEMENT IN TIMES OF NEED</t>
  </si>
  <si>
    <t>2YTFC252693326</t>
  </si>
  <si>
    <t xml:space="preserve">
Sales Order #: 2276320621
RTD Screening Code: DOD
Reason for Rejection: Y9</t>
  </si>
  <si>
    <t>THE HEADLAND POLICE DEPARTMENT AND OFFICERS WOULD BENEFIT FROM THIS EQUIPMENT BY HAVING THE PROPER EQUIPMENT TO PROPERLY SURVEY AREAS OF NEED AND TO OBSERVE THE LOCATIONS THAT ARE IN NEED OF ASSISTANCE . THIS WOULD HELP KEEP THE OFFICERS AND OTHER INDIVIDUAL SAFE AS  THEY ARE DOING THEIR JOBS. THIS EQUIPMENT WOULD BE A GREAT ASSET FOR SEARCH AND RESCUE.</t>
  </si>
  <si>
    <t>2YTE9E52693343</t>
  </si>
  <si>
    <t xml:space="preserve">
Sales Order #: 2276320624
RTD Screening Code: DOD
Reason for Rejection: Y9</t>
  </si>
  <si>
    <t>THE HEADLAND POLICE DEPARTMENT AND OFFICERS WOULD BENEFIT FROM THIS EQUIPMENT BY HAVING THE PROPER EQUIPMENT TO SAFELY TRANSPORT EQUIPMENT TO AREAS OF NEED AND TO BE ABLE TO TRANSPORT RESOURCES NEED TO AREAS SAFELY</t>
  </si>
  <si>
    <t>2YTE9E52693342</t>
  </si>
  <si>
    <t xml:space="preserve">
Sales Order #: 2276379923
RTD Screening Code: DOD
Reason for Rejection: Y9</t>
  </si>
  <si>
    <t>THE CCPD IS REQUESTING THIS TRUCK.IT WILL BE USED IN BY CCPD FOR LAW ENFORCEMENT FOR OUR HELICOPTER UNIT.THE VEHICLE WILL BE USED DAILY TO STORE AND REFUEL HELICOPTERS FOR POLICE PATROL. IT IS DESPERATELY NEEDED TO REPLACE OUR CURRENT 1978 MIL TANKER. MAINT HAS STIPULATED THAT THE CURRENT VEHICLE IS UNFEASIBLE TO BE MAINTAINED DUE TO AGE, SAFETY AND HIGH MAINT COSTS.DUE TO BUDGET, REPAIR AND REPLACEMENT IS NOT FEASIBLE.THIS TRUCK WILL ENABLE THE CCPD TO CONTINUE SAFE AND CRITICAL LE OPERATIONS</t>
  </si>
  <si>
    <t>2YTCHK52693354</t>
  </si>
  <si>
    <t xml:space="preserve">
Sales Order #: 2276320612
RTD Screening Code: DOD
Reason for Rejection: Y9</t>
  </si>
  <si>
    <t>THE LEVEL PLAINS POLICE DEPARTMENT WOULD UTILIZE TRAILER TO HAUL LARGE ITEMS AWARDED THROUGH THE 1033 PROGRAM</t>
  </si>
  <si>
    <t>2YTRNR52693392</t>
  </si>
  <si>
    <t xml:space="preserve">
Sales Order #: 2276188488
RTD Screening Code: DOD
Reason for Rejection: Y9</t>
  </si>
  <si>
    <t>TRYING TO GET NVG FOR MY AGENCY SWAT TEAM. WE ARE NOT YET CAPABLE AS WE DO NOT HAVE NIGHT VISION.</t>
  </si>
  <si>
    <t>2YTDSG52693414</t>
  </si>
  <si>
    <t xml:space="preserve">
Sales Order #: 2260559686
RTD Screening Code: DOD
Reason for Rejection: Y9</t>
  </si>
  <si>
    <t>THE BRISTOL POLICE DEPARTMENT HAS PREVIOUSLY PUT IN FOR THESE BUT WERE TOLD THEY WERE ALL TAKEN ON A HIGH PRIORITY ORDER. OUR SPECIAL RESPONSE TEAM WOULD UTILIZE THESE DURING TACTICAL SITUATIONS AND SEARCH WARRANTS TO KEEP OFFICERS SAFE. WE HAVE A LOCAL COMPANY THAT WILL EVALUATE AND CAN REPAIR THESE AS NECESSARY. THE BASE IS UNABLE TO TEST THEM DUE TO NOT HAVING A POWER SOURCE.</t>
  </si>
  <si>
    <t>2YTBJQ52693383</t>
  </si>
  <si>
    <t xml:space="preserve">
Sales Order #: 2276418824
RTD Screening Code: DOD
Reason for Rejection: Y9</t>
  </si>
  <si>
    <t>2YTLZ852693541</t>
  </si>
  <si>
    <t xml:space="preserve">
Sales Order #: 2276625848
RTD Screening Code: DOD
Reason for Rejection: Y9</t>
  </si>
  <si>
    <t>FOR USE BY LEO AND SWAT FOR HIGH RISK SCENARIOS SUCH AS HOSTAGE RESCUE, ACTIVE SHOOTER, AND OTHER CRITICAL EMERGENCIES.</t>
  </si>
  <si>
    <t>2YTSZX52693629</t>
  </si>
  <si>
    <t xml:space="preserve">
Sales Order #: 2276625877
RTD Screening Code: DOD
Reason for Rejection: Y9</t>
  </si>
  <si>
    <t>FOR USE BY LEO AND SWAT FOR HIGH RISK SCENARIOS SUCH AS HOSTAGE RESCUE, ACTIVE SHOOTER, AND OTHER CRITICAL EMERGENCIES</t>
  </si>
  <si>
    <t>2YTSZX52693628</t>
  </si>
  <si>
    <t xml:space="preserve">
Sales Order #: 2276625857
RTD Screening Code: DOD
Reason for Rejection: Y9</t>
  </si>
  <si>
    <t>OUR SWAT TEAM WILL USE THESE IR HELMET STROBES IN CONJUNCTION WITH OUR NIGHT VISION GOGGLES WHILE CONDUCTING TACTICAL LAW ENFORCEMENT OPERATIONS IN LOW LIGHT.  WE ARE AWARE THEY ARE IN CONDITION H.  WE HAVE CONTACTED THE SITE TO CHECK CONDITION AND WILL TAKE THEM AS THEY ARE.</t>
  </si>
  <si>
    <t>2YTP2752693626</t>
  </si>
  <si>
    <t xml:space="preserve">
Sales Order #: 2276320622
RTD Screening Code: DOD
Reason for Rejection: Y9</t>
  </si>
  <si>
    <t>THE ASHE COUNTY SHERIFF'S OFFICE REQUESTS THIS ITEM FOR USE DURING COUNTER-DRUG OPERATIONS AND NIGHTTIME SEARCH AND RESCUE OPERATIONS. THESE NIGHT VISION UNITS WILL ALLOW OUR SWORN DEPUTIES TO SEE AT NIGHT DURING WARRANT SERVICE AND WHILE SEARCHING FOR MISSING PERSONS IN THE MOUNTAINS. I HAVE BEEN IN TOUCH WITH THE DLA SITE AND HAVE REVIEWED THE PHOTOS AND THESE UNITS WILL WORK FOR OUR NEEDS AND WE WILL ACCEPT THEM IN THIS CONDITION.</t>
  </si>
  <si>
    <t>2YTA0F52693594</t>
  </si>
  <si>
    <t xml:space="preserve">
Sales Order #: 2276567630
RTD Screening Code: DOD
Reason for Rejection: Y9</t>
  </si>
  <si>
    <t>ACKN COND H, ACKN CONTACT WITH DLA, RCSO WILL USE THIS IR ILLUMINATOR FOR SAFETY OF THE PUBLIC AND LAW ENFORCEMENT DURING SEARCH AND RESCUE OPERATIONS WITH NVD</t>
  </si>
  <si>
    <t>2YTJ2H52693657</t>
  </si>
  <si>
    <t>RAMSEY COUNTY SHERIFF DEPT (2YTJ2H)</t>
  </si>
  <si>
    <t xml:space="preserve">
Sales Order #: 2276566330
RTD Screening Code: DOD
Reason for Rejection: Y9</t>
  </si>
  <si>
    <t>THESE LIGHTS WOULD ASSIST LAW ENFORCEMENT IN WORKING CRIME SCENES DURING LIMITED VISIBILITY OR NIGHTTIME HOURS.</t>
  </si>
  <si>
    <t>2YTGAF52693674</t>
  </si>
  <si>
    <t xml:space="preserve">
Sales Order #: 2276470843
RTD Screening Code: DOD
Reason for Rejection: Y9</t>
  </si>
  <si>
    <t>2YTEY452693669</t>
  </si>
  <si>
    <t>USE AT HDQ'S TO HAUL EQUIPMENT ETC</t>
  </si>
  <si>
    <t>2YT1DY52693792</t>
  </si>
  <si>
    <t>STATE PATROL (2YT1DY)</t>
  </si>
  <si>
    <t xml:space="preserve">
Sales Order #: 2276510107
RTD Screening Code: DOD
Reason for Rejection: Y9</t>
  </si>
  <si>
    <t>GAINING ACCESS TO ELEVATED STRUCTURES OR BUILDINGS DURING SEARCH WARRANTS, HOSTAGE SITUATIONS, OR SURVEILLANCE OPERATIONS. ASSISTING IN THE SAFE RETRIEVAL OF INDIVIDUALS OR ANIMALS FROM ELEVATED OR HARD-TO-REACH LOCATIONS E.G., ROOFTOPS, TREES, DITCHES, OR FLOOD ZONES. ACCESSING EVIDENCE LOCATED ON ELEVATED SURFACES, ROOFTOPS, OR WITHIN ATTICS.</t>
  </si>
  <si>
    <t>2YTG1752694071</t>
  </si>
  <si>
    <t xml:space="preserve">FEDERAL SCREENER FOR DIVISION WITH 200 LAW ENFORCEMENT AGENTS TO INCLUDE 19 SWAT OPERATORS.  SAME MANUFACTURER AS OUR ISSUED VESTS, THE KIT COMPONENTS WILL BE USED TO AUGMENT OUR EXISTING CARRIERS EX. POUCHES, BELTS, ETC
</t>
  </si>
  <si>
    <t>2YTQY152694107</t>
  </si>
  <si>
    <t xml:space="preserve">
Sales Order #: 2276659713
RTD Screening Code: DOD
Reason for Rejection: Y9</t>
  </si>
  <si>
    <t>2YTMGW52693915</t>
  </si>
  <si>
    <t xml:space="preserve">
Sales Order #: 2276625875
RTD Screening Code: DOD
Reason for Rejection: Y9</t>
  </si>
  <si>
    <t xml:space="preserve">ITEM TO BE UTILIZED BY THE DEPARTMENT OF HOMELAND SECURITY TRAINING OPERATIONS FOR THE DENVER, AOR. ITEM WILL BE USED BY TACTICS AND FIREARMS INSTRUCTORS TO BUILD TRAINING OBSTACLES AND BARRIERS FOR MANDATORY QUARTERLY TRAINING. 
</t>
  </si>
  <si>
    <t>MAINTENANCE KIT</t>
  </si>
  <si>
    <t>2YTR6452694132</t>
  </si>
  <si>
    <t xml:space="preserve">
Sales Order #: 2276625847
RTD Screening Code: DOD
Reason for Rejection: Y9</t>
  </si>
  <si>
    <t>THE TOWNSEND POLICE DEPARTMENT IS REQUESTING THIS REFRIGERATOR FOR OFFICERS AND STAFF TO PLACE THEIR LUNCHES AND OTHER PERISHABLE ITEMS IN. THANK YOU</t>
  </si>
  <si>
    <t>2YTRSG52694203</t>
  </si>
  <si>
    <t xml:space="preserve">
Sales Order #: 2276602648
RTD Screening Code: DOD
Reason for Rejection: Y9</t>
  </si>
  <si>
    <t>TEXARKANA PD WILL USE A GEAR CARRIER TO ENSURE RAPID DEPLOYMENT CAPABILITIES DURING CRITICAL INCIDENTS. THIS CARRIER WILL SUPPORT SEARCH AND RESCUE OPERATIONS, COUNTER TERRORISM RESPONSE, AND NARCO TERRORISM MISSIONS BY TRANSPORTING ESSENTIAL GEAR AND EQUIPMENT QUICKLY AND EFFICIENTLY. IT ENHANCES READINESS, MOBILITY, AND OPERATIONAL EFFECTIVENESS TO PROTECT THE COMMUNITY AND ENSURE OFFICER SAFETY. LAW ENFORCEMENT USE ONLY.</t>
  </si>
  <si>
    <t>2YTLR852764195</t>
  </si>
  <si>
    <t xml:space="preserve">
Sales Order #: 2276665868
RTD Screening Code: DOD
Reason for Rejection: Y9</t>
  </si>
  <si>
    <t>THESE HELMET MOUNTS WILL BE USED IN CONJUNCTION WITH THE PVS-14 NIGHT VISION MONOCULARS THAT WE ARE CURRENTLY LEASING THROUGH THE NAVSEA ELECTRO-OPTICS PROGRAM SO THAT WE CAN ATTACH THE MONOCULARS TO OUR SWAT HELMETS</t>
  </si>
  <si>
    <t>2YTBM052694268</t>
  </si>
  <si>
    <t xml:space="preserve">
Sales Order #: 2276579605
RTD Screening Code: DOD
Reason for Rejection: Y9</t>
  </si>
  <si>
    <t>THE BAY COUNTY SHERIFF'S OFFICE NEEDS THIS ITEM TO USE WITH OUR THREE SEMI TRUCK TRACTORS TO FULFILL OUR MISSION WHEN IT COMES TO DISASTER RESPONSE AND OUR ABILITY TO HAUL EQUIPMENT AND SUPPLIES</t>
  </si>
  <si>
    <t>2YTAYW52694236</t>
  </si>
  <si>
    <t xml:space="preserve">
Sales Order #: 2276739537
RTD Screening Code: DOD
Reason for Rejection: Y9</t>
  </si>
  <si>
    <t>2YT0RM52694288</t>
  </si>
  <si>
    <t>UNIFIED FIRE AUTH. SPECIAL ENF. DIV (2YT0RM)</t>
  </si>
  <si>
    <t xml:space="preserve">
Sales Order #: 2276632805
RTD Screening Code: DOD
Reason for Rejection: Y9</t>
  </si>
  <si>
    <t>2YT0M452694284</t>
  </si>
  <si>
    <t xml:space="preserve">
Sales Order #: 2276632761
RTD Screening Code: DOD
Reason for Rejection: Y9</t>
  </si>
  <si>
    <t>THE ERWIN POLICE DEPARTMENT NEEDS THESE FLASHLIGHTS FOR DISASTER RELATED EMERGENCY RESPONSE AND PREPAREDNESS,  SEARCH AND RESCUE OPERATIONS, AND DAY TO DAY DUTIES. THE INTENT FOR THIS IS TO ISSUE TO EACH OFFICER TO HAVE A ATTACHABLE FLASHLIGHT. THANK YOU.</t>
  </si>
  <si>
    <t>2YTDUF52694277</t>
  </si>
  <si>
    <t>THE CARY POLICE DEPARTMENT HAS ESTABLISHED A DISASTER RESPONSE TEAM COMPOSED OF SPECIALLY TRAINED OFFICERS IN FIRST AID, SEARCH AND RESCUE, AND RELATED DISASTER RESPONSE FUNCTIONS. TEAM MEMBERS ARE IN NEED OF EQUIPMENT FOR DEPLOYMENTS WITH POTENTIAL FOR SLEEPING IN TENTS AND COULD USE THESE MATS IN THIS WAY.</t>
  </si>
  <si>
    <t>MAT,SLEEPING</t>
  </si>
  <si>
    <t>2YTB2Q52694443</t>
  </si>
  <si>
    <t>CARY PD (2YTB2Q)</t>
  </si>
  <si>
    <t>THE CARY POLICE DEPARTMENT HAS ESTABLISHED A DISASTER RESPONSE TEAM COMPOSED OF SPECIALLY TRAINED OFFICERS IN FIRST AID, SEARCH AND RESCUE, AND RELATED DISASTER RESPONSE FUNCTIONS. TEAM MEMBERS ARE IN NEED OF GEAR BAGS AND BACKPACKS FOR DEPLOYMENTS.</t>
  </si>
  <si>
    <t>2YTB2Q52694442</t>
  </si>
  <si>
    <t>THE OZARK COUNTY SHERIFF'S OFFICE REQUESTS NIGHT VISION MODIFICATIONS TO ENHANCE SAFETY AND EFFECTIVENESS. RURAL NIGHT OPERATIONS OFTEN OCCUR IN LOW LIGHT, WHERE VISIBILITY IS CRITICAL FOR BOTH DEPUTIES AND THE COMMUNITY. NIGHT VISION WILL IMPROVE SEARCHES, SURVEILLANCE, AND EMERGENCY RESPONSE, REDUCING RISKS AND STRENGTHENING PUBLIC SAFETY OUTCOMES.</t>
  </si>
  <si>
    <t>2YT19C52764466</t>
  </si>
  <si>
    <t>OZARK COUNTY  SHERIFF OFFICE (2YT19C)</t>
  </si>
  <si>
    <t>THE OZARK COUNTY SHERIFF'S OFFICE REQUESTS A TRANSPORT VAN TO MOBILIZE THE K9 UNIT FROM THE SHERIFF'S OFFICE TO SCENES. A DEDICATED VEHICLE ENSURES SAFE AND EFFICIENT TRANSPORT WITH PROPER KENNELING, EQUIPMENT, AND CLIMATE CONTROL. THIS WILL IMPROVE RESPONSE TIMES, ENHANCE PUBLIC SAFETY, AND SUPPORT CRITICAL OPERATIONS INCLUDING SEARCHES, NARCOTICS DETECTION, AND SUSPECT APPREHENSION.</t>
  </si>
  <si>
    <t>2YT19C52704465</t>
  </si>
  <si>
    <t xml:space="preserve">FOR USE BY ON DUTY OFFICERS OF THE LANSING POLICE DEPARTMENT FOR PROTECTION FROM THE WEATHER AND ENVIRONMENT DURING OPERATIONS.
</t>
  </si>
  <si>
    <t>2YTPER52704478</t>
  </si>
  <si>
    <t>FOR USE BY ON DUTY OFFICERS OF THE LANSING POLICE DEPARTMENT FOR PROTECTION FROM THE WEATHER AND ENVIRONMENT DURING OPERATIONS.</t>
  </si>
  <si>
    <t>2YTPER52704477</t>
  </si>
  <si>
    <t>2YTPER52704474</t>
  </si>
  <si>
    <t>2YTPER52704473</t>
  </si>
  <si>
    <t>2YTPER52704472</t>
  </si>
  <si>
    <t>2YTPER52704469</t>
  </si>
  <si>
    <t>THE TOWNSEND POLICE DEPARTMENT WOULD USE THESE KEVLAR PANELS TO PLACE ON THE WALLS OF OUR NEW STATION TO PROVIDE PROTECTION FOR OFFICERS, OUR ADMINISTRATIVE ASSISTANT AND VISITORS AGAINST ROUNDS BEING SHOT AT THE BUILDING. THEY WILL GO IN THE TRAINING ROOM, OFFICE'S, BREAKROOM, EVIDENCE ROOM, RESTROOMS. THANK YOU</t>
  </si>
  <si>
    <t>ARMOR PLATE, SHEET, STRIP, FOIL, LEAF</t>
  </si>
  <si>
    <t>DSARMORPL</t>
  </si>
  <si>
    <t>2YTRSG52694430</t>
  </si>
  <si>
    <t>THIS HAND TRUCK WOULD BE USED TO MOVE LAW ENFORCEMENT EQUIPMENT IN THE SHIPPING AND RECEIVING SECTION.</t>
  </si>
  <si>
    <t>2YTGAF52834526</t>
  </si>
  <si>
    <t xml:space="preserve">
Sales Order #: 2274227367
RTD Screening Code: DOD
Reason for Rejection: Y6</t>
  </si>
  <si>
    <t>2YTG8952341077</t>
  </si>
  <si>
    <t xml:space="preserve">
Sales Order #: 2275560596
RTD Screening Code: GSA
Reason for Rejection: YG</t>
  </si>
  <si>
    <t>THE FULTON COUNTY SHERIFFS OFFICE IS REQUESTING THESE CASES SO DEPUTIES CAN USE THEM TO STORE AND TRANSPORT VARIOUS PIECES OF EQUIPMENT. THESE WILL ALSO BE USED FOR RIFLE CASES</t>
  </si>
  <si>
    <t>2YTEED52481291</t>
  </si>
  <si>
    <t xml:space="preserve">
Sales Order #: 2275560598
RTD Screening Code: GSA
Reason for Rejection: YG</t>
  </si>
  <si>
    <t>WOULD BE ASSIGNED TO A HUBBARD POLICE OFFICER TO MAKE REPAIRS TO DEPARTMENT ISSUED WEAPON SYSTEMS AS WELL AS TO KEEP THEIR MARKED PATROL UNIT IN SERVICE WHEN THE OFFICER CAN MAKE THE REPAIRS.</t>
  </si>
  <si>
    <t>2YTFK752411662</t>
  </si>
  <si>
    <t xml:space="preserve">
Sales Order #: 2274972151
RTD Screening Code: DOD
Reason for Rejection: YD</t>
  </si>
  <si>
    <t>CISCO ROUTERS WILL BE USED TO SUPPORT HAWTHORNE POLICE DEPARTMENT ADP OPERATIONS IN ALL AREAS BY REPLACING AGING EQUIPMENT ALLOWING OFFICERS ACCESS TO VOICE AND DATA SYSTEMS IN THE DEPARTMENT.</t>
  </si>
  <si>
    <t>2YTE8L52551866</t>
  </si>
  <si>
    <t xml:space="preserve">
Sales Order #: 2274906358
RTD Screening Code: GSA
Reason for Rejection: YG</t>
  </si>
  <si>
    <t>ROUTER, DIGITAL</t>
  </si>
  <si>
    <t>DSROUTER3</t>
  </si>
  <si>
    <t>2YTE8L52551865</t>
  </si>
  <si>
    <t xml:space="preserve">
Sales Order #: 2275390499
RTD Screening Code: GSA
Reason for Rejection: YG</t>
  </si>
  <si>
    <t>2YTMRF52481820</t>
  </si>
  <si>
    <t xml:space="preserve">
Sales Order #: 2275896260
RTD Screening Code: DOD
Reason for Rejection: YE</t>
  </si>
  <si>
    <t>THIS ITEM WILL BE USED BY THE GREENFIELD POLICE DEPARTMENT ONLY. THIS ITEM WILL BE USED ONLY BY THE GREENFIELD POLICE DEPARTMENT. THIS ITEM WILL BE USED BY THE DEPARTMENT DURING A NATURAL DISASTER. THIS ITEM WOULD BE USED TO LEFT HEAVY DEBRIS AND MATERIALS TO HELP AID DURING A DISASTER. THIS ITEM WILL ALSO HELP CONSTRUCT A RANGE FACILITY ON OUR FIRING RANGE.</t>
  </si>
  <si>
    <t>2YTEUJ52693359</t>
  </si>
  <si>
    <t xml:space="preserve">
Sales Order #: 2276407648
RTD Screening Code: DOD
Reason for Rejection: Y6</t>
  </si>
  <si>
    <t>THE NORMANDY POLICE DEPARTMENT WILL UTILIZE THESE 30 ROUND M16 AND M4 CARTRIDGE MAGAZINES BY ASSIGNING THEM TO POLICE OFFICERS WHO UTILIZE THE AR15 PLATFORM PATROL RIFLES WHEN CONFRONTING ARMED SUBJECTS, PARTICIPATING IN ANTINARCOTIC OPERATIONS, RESPONDING TO ACTIVE SHOOTER INCIDENTS, SERVING WARRANTS, AND ASSISTING FEDERAL LAW ENFORCEMENT PARTNERS.</t>
  </si>
  <si>
    <t>2YT0M452763879</t>
  </si>
  <si>
    <t>THE NORMANDY POLICE DEPARTMENT WILL UTILIZE THIS EXPANDING TRUCK AS A MOBILE COMMAND CENTER FOR OFFICERS DURING NATURAL DISASTER RESPONSES, INCIDENTS OF CIVIL UNREST, MASS CASUALTY EVENTS, OR AS A BASE DURING EXTENDED ENGAGEMENTS WITH BARRICADED SUBJECTS.</t>
  </si>
  <si>
    <t>2YT0M452694481</t>
  </si>
  <si>
    <t xml:space="preserve">
Sales Order #: 2276966446
RTD Screening Code: DOD
Reason for Rejection: BQ</t>
  </si>
  <si>
    <t>THIS ITEM IS TO BE USED BY MEMBERS OF THE HASBROUCK HEIGHTS POLICE DEPARTMENT ONLY. THIS ALL TERRAIN VEHICLE WILL BE USED TO TRANSPORT OFFICERS AND EQUIPMENT TO COMMUNITY EVENTS. IT WILL ALSO BE USED DURING NATURAL DISASTERS TO PROVIDE EMERGENCY SERVICES.</t>
  </si>
  <si>
    <t>2YTQCV52834652</t>
  </si>
  <si>
    <t>Rejected by ECG1611.  Comments: Additional justification needed for the intended use of this property..</t>
  </si>
  <si>
    <t>ITEM WILL BE USED BY POLICE DEPARTMENT.</t>
  </si>
  <si>
    <t>2YTNUT51927732</t>
  </si>
  <si>
    <t>Rejected by ECH00100.  Comments: since condition can't be confirmed, not sure it is a good idea to get this, especially since another LEA had returned it.  If you can get more details of the condition please resubmit the request and include in your justification that you have checked the condition of the robot-CH .</t>
  </si>
  <si>
    <t>USE WITH MULTI JURISDICTIONAL SWAT.</t>
  </si>
  <si>
    <t>UNMANNED VEHICLE</t>
  </si>
  <si>
    <t>2YTHDM51927761</t>
  </si>
  <si>
    <t>MARTINSVILLE POLICE DEPT (2YTHDM)</t>
  </si>
  <si>
    <t>Rejected by EOL0097.  Comments: Item is in GSA Cycle.  It must be in DOD cycle to request through the 1033 program..</t>
  </si>
  <si>
    <t>THIS TRUCK, USED SOLELY BY THE POLICE DEPARTMENT, ENHANCES OUR SMALL FLEET FOR TRAFFIC EMERGENCIES. IT WILL BE USED TO TRANSPORT TRAFFIC CONES AND BARRICADES FOR TRAFFIC CONTROL DURING EMERGENCIES. DRIVEN ONLY BY OUR OFFICERS, IT WILL BE STRIPED WITH POLICE INSIGNIA AND EQUIPPED WITH BLUE LIGHTS. IT SIGNIFICANTLY IMPROVES OFFICER SAFETY BY ENHANCING VISIBILITY, CLEARLY MARKING POLICE PRESENCE DURING HIGH-RISK TRAFFIC EMERGENCIES, REDUCING ACCIDENT RISKS, AND PROTECTING OFFICERS FROM ONCOMING TRA</t>
  </si>
  <si>
    <t>2YTH3451857810</t>
  </si>
  <si>
    <t>Rejected by ETD1004.  Comments: REQUISITION HAS BEEN APPROVED FOR ANOTHER AGENCY..</t>
  </si>
  <si>
    <t>GAINESBORO POLICE REQUEST THIS TRAILER TO USE ON ALL POLICE ACTIVES, NATURAL DISASTERS, LOST OR MISSING CHILDREN AND OR ELDERLY PERSONS OR ANY ACTIVE SHOOTER SITUATIONS THAT MIGHT OCCUR IT CAN ALSO BE USED TO MONITOR AREAS OF HIGH CRIME THAT OCCURS IN GAINESBORO AND HELP IN AND THE IT WILL ONLY BE USED TO ASSIST ALL LAW ENFORCEMENT ACTIVES IN GAINESBORO, JACKSON COUNTY BETTER SERVE AND FOR THE SAFETY OF GAINESBORO LAW ENFORCEMENT</t>
  </si>
  <si>
    <t>2YTEF651927785</t>
  </si>
  <si>
    <t>Rejected by EDP0815.  Comments: Requisitions cannot be approved for this LEA until the agency completes the 1033 Program's FY25 National Annual Inventory in FEPMIS. The inventory became active on Jul 1, 2025, and must be completed on or before Aug 31, 2025, in the State of New Jersey..</t>
  </si>
  <si>
    <t>LAW ENFORCEMENT USE ONLY.  TO BE USED BY OFFICERS TO THIS AGENCY TO STORE AND TRANSPORT POLICE ISSUED EQUIPMENT DURING CRITICAL INCIDENTS AND NATURAL DISASTERS.  OFFICERS WILL ALSO USE THIS EQUIPMENT TO CONDUCT POLICE OPERATIONS OUT OF IN REMOTE AREAS.</t>
  </si>
  <si>
    <t>2YTPS751997855</t>
  </si>
  <si>
    <t>Rejected by ECG1611.  Comments: Rejection due to allocated to another agency. Property no longer available..</t>
  </si>
  <si>
    <t>WASHINGTON COUNTY SHERIFF'S OFFICE IS A LAW ENFORCEMENT AGENCY IN THE STATE OF VIRGINIA. OUR AGENCY COULD USE THIS BULL DOZER FOR CLEARING LAND FOR A NEW FIRING RANGE. AND ALSO SPEADING GRAVEL. THIS DOZER WILL BE USE BY LAW ENFORCEMENT PERSONNEL.</t>
  </si>
  <si>
    <t>2YTM9Q51997875</t>
  </si>
  <si>
    <t>Rejected by ECG1611.  Comments: Property is no longer available. Allocated to another agency..</t>
  </si>
  <si>
    <t>WASHINGTON COUNTY SHERIFF'S OFFICE IS A LAW ENFORCEMENT AGENCY IN THE STATE OF VIRGINIA. OUR AGENCY COULD USE THIS MOBILE COMMAND TRAILER FOR SEARCHES AND DISASTERS WHERE A MOBILE COMMAND IS NEEDED. RECENTLY BATTLE CREEK ADVISED WE HAVE OBTAINED NINETEEN TRAILERS IN THE PAST THREE YEARS. THIS IS CORRECT STATEMENT. HOWEVER ALL THE TRAILERS ARE CONSIDERED SPECIAL PURPOSE. IF A LIST IS REQUIRE PLEASE CONTACT MY STATE COORDINATOR OFFICE . THIS TRAILER WILL BE USE BY LAW ENFORCEMENT.</t>
  </si>
  <si>
    <t>2YTM9Q51997868</t>
  </si>
  <si>
    <t>Rejected by EJC2716.  Comments: requested by another LEA first.</t>
  </si>
  <si>
    <t>REQUESTED BY SCDPS TO BE USED BY SCDPS LAW ENFORCEMENT OFFICERS AS A MOBILE CLASSROOM FOR MOBILE TRAININGS AS WELLS AS A MOBILE OFFICE DURING INCLEMENT WEATHER SITUATIONS RESULTING IN POWER OUTAGES.</t>
  </si>
  <si>
    <t>2YTKTF51997900</t>
  </si>
  <si>
    <t>Rejected by ETD1004.  Comments: REJECTED AS APPROVE FOR ANOTHER AGENCY EARLIER.</t>
  </si>
  <si>
    <t>THE MADISONVILLE POLICE DEPARTMENT IS REQUESTING THIS TRAILER FOR USE BY OUR OFFICERS. OUR DEPARTMENT IS LOCATED IN A HIGH METH LAB RURAL MOUNTAINOUS AREA. THIS TRAILER WOULD BE USED AS A MOBILE CRIME SCENE AND METH LAB EQUIPMENT RESPONSE UNIT. WE HAVE PREVIOUSLY BEEN AWARDED A TRAILER LIKE THIS YEARS AGO BUT IT IS NO LONGER IN SERVICE DUE TO WATER DAMAGE. DUE TO BUDGET CONSTRAINTS WE ARE CURRENTLY UNABLE TO PURCHASE MUCH NEEDED EQUIPMENT LIKE THIS UNIT.</t>
  </si>
  <si>
    <t>2YTG5751997859</t>
  </si>
  <si>
    <t>Rejected by ETD1004.  Comments: REJECTED APPROVED FOR AN EARLIER REQUISITIONER.</t>
  </si>
  <si>
    <t>TRAILER WILL BE USED BY THE GREENE COUNTY SHERIFFS OFFICE TO PROVIDE A MOBILE REHAB FOR OFFICERS WORKING EVENTS OR DISASTERS AS A PLACE TO REST, EAT THEIR MEALS, AND TAKE A BATHROOM BREAK INSIDE A CONTROLLED ENVIRONMENT.</t>
  </si>
  <si>
    <t>2YTET651997845</t>
  </si>
  <si>
    <t>Rejected by EKV0279.  Comments: Agency does not want..</t>
  </si>
  <si>
    <t>THE CALLAWAY COUNTY SHERIFF'S OFFICE IS THE CHIEF LAW ENFORCEMENT AND IS MISSOURI'S 7TH LARGEST COUNTY AT 847 SQUARE MILES. THE CALLAWAY COUNTY SHERIFF'S OFFICE SPECIAL RESPONSE TEAM CONSISTS OF CERTIFIED PEACE OFFICERS AND THESE PVS-15C'S WOULD BE USED STRICTLY FOR INCIDENTS REQUIRING A SRT RESPONSE, ESPECIALLY AT NIGHT.  CALLAWAY COUNTY IS A PRIME TERRORIST TARGET AS THE ONLY COMMERCIAL NUCLEAR POWER PLANT IN MISSOURI.</t>
  </si>
  <si>
    <t>2YTBU251997993</t>
  </si>
  <si>
    <t>Rejected by EDC2527.  Comments: Andy Houghtby (Tehama CSO) has already requisitioned this item which we approved at the state level..</t>
  </si>
  <si>
    <t>THE TEHAMA COUNTY SHERIFF'S OFFICE WILL USE 	KEYBOARD IN OUR RECORDS, JAIL BOOKING, PATROL AND EMERGENCY OPERATION CENTER FOR EMPLOYEE USE DURING DAILY OPERATIONS.</t>
  </si>
  <si>
    <t>2YTLQ751928167</t>
  </si>
  <si>
    <t>Rejected by EJR01036.  Comments: Per TX LESO. LEAs may not request further property until it is shown that their agency has completed the annual inventory certification.  Complete inventory certification then resubmit your request..</t>
  </si>
  <si>
    <t>LEE COUNTY SHERIFFS OFFICE WOULD USE KITS FOR LAW ENFORCEMENT AND LIFESAVING SCENARIOS. AEDS WOULD BE ISSUED TO DEPUTIES TO USE WHEN NEEDED AND BE PLACED IN TRAINING ENVIRONMENT TO USE DURING EMERGENCIES UNTIL MEDICAL PERSONNEL COULD ARRIVE ON SCENE. AEDS DO NOT HAVE BATTERIES TO WHICH WE WILL PURCHASE TO MAKE OPERABLE.</t>
  </si>
  <si>
    <t>2YTGM151928188</t>
  </si>
  <si>
    <t>2YTGM151928187</t>
  </si>
  <si>
    <t>Rejected by EJC2716.  Comments: justification.</t>
  </si>
  <si>
    <t>ABPD DOES NOT HAVE THE MEANS TO CURRENTLY TO CLEAN THE EXTERIOR OF THE PATROLS CARS. THIS WILL BE USED TO CLEAN THE PATROL CARS.</t>
  </si>
  <si>
    <t>2YTQD951928159</t>
  </si>
  <si>
    <t>Rejected by EMK0354.  Comments: Not approving controlled property at this time..</t>
  </si>
  <si>
    <t>USED BY LAW ENFORCEMENT OFFICERS DURING EMERGENCY SITUATIONS WHERE PROTECTION IS REQUIRED DURING PROTEST OR RIOT SITUATIONS.  ONE SHIELD FOR EACH PATROL VEHICLE WE HAVE IN THE FLEET.</t>
  </si>
  <si>
    <t>2YTD1X51927776</t>
  </si>
  <si>
    <t>Rejected by ETD1004.  Comments: approved for an earlier requisitioner.</t>
  </si>
  <si>
    <t>THESE BINOCULARS WILL BE USED BY OUR INVESTIGATORS AND PATROL OFFICERS FOR OBSERVATION DURING DRUG INVESTIGATIONS OPERATIONS.</t>
  </si>
  <si>
    <t>2YTHDF52068331</t>
  </si>
  <si>
    <t>Rejected by EJR01036.  Comments: Please contact Texas LESO at 5124242676 for more information..</t>
  </si>
  <si>
    <t>2YTJC652068355</t>
  </si>
  <si>
    <t>Rejected by EOL0097.  Comments: Cannot approve in GSA Cycle.  Must be in DOD Cycle..</t>
  </si>
  <si>
    <t>TO PROVIDE THE MIDVILLE POLICE OFFICERS WITH A QUICK RESPONSE VEHICLE DURING SPECIAL EVENTS DEALING WITH BIG CROWDS AND CLOSE QUARTERS. THESE COULD ALSO BE BENEFICIAL WHILE DEALING WITH CERTAIN DISASTERS.</t>
  </si>
  <si>
    <t>2YTHQD51927823</t>
  </si>
  <si>
    <t xml:space="preserve">WILL BE USED BY STARR COUNTY SHERIFF'S OFFICE, I ALREADY SPOKE TO DLA CAVAZOS. 
</t>
  </si>
  <si>
    <t>2YTLFY51998483</t>
  </si>
  <si>
    <t>Rejected by EJR01036.  Comments: TX LESO cannot approve further property until LESO HQs confirms that your annual inventory certification is completed. You have 19 line items of property to certify in the LESO FEPMIS site.  Please conduct your inv certification then resubmit your RTD Requests. If you have questions please call TX LESO at 5124242676.</t>
  </si>
  <si>
    <t>THE ITASCA POLICE DEPARTMENT IS IN NEED OF EQUIPMENT TO USE TO MOVE DIRT AND BUILD LEVEL GROUND TO CONSTRUCT A GUN RANGE AND TRAINING AREA. THIS EQUIPMENT WILL BE USED IN THE EXCAVATION PROCESS TO PREP THE GROUND BY CLEARING AND REMOVING DEBRIS AND THEN DIRT TO LEVEL THE GROUND AND BUILD UP PAD SITE AND DRAINAGE FOR THE AREA OF THE RANGE.</t>
  </si>
  <si>
    <t>2YTFTY51998456</t>
  </si>
  <si>
    <t>THE ITASCA POLICE DEPARTMENT IS IN NEED OF A BACKUP GENERATOR TO OPERATE THE FACILITY DURING POWER OUTAGES. THIS GENERATOR WILL BE USED TO POWER THE PD AND WATER PUMPS TO ENSURE THE PD HAS POWER AND WATER DURING EMERGENCIES.</t>
  </si>
  <si>
    <t>2YTFTY51998455</t>
  </si>
  <si>
    <t>THE ITASCA POLICE DEPARTMENT IS IN NEED OF STORAGE CONTAINER TO STORE EXCESS PROPERTY AND FILES.</t>
  </si>
  <si>
    <t>2YTFTY51998454</t>
  </si>
  <si>
    <t>2YTFTY51998453</t>
  </si>
  <si>
    <t>REQUESTED BY THE NORTH MYRTLE BEACH POLICE DEPARTMENT TO BE USED BY NMB POLICE OFFICERS FOR EMERGENCY RESPONSE, PERSONNEL AND EQUIPMENT TRANSPORT, AND SPECIAL EVENT SUPPORT. THIS VEHICLE ENHANCES OPERATIONAL READINESS DURING HURRICANES, LARGE SCALE EVENTS AND OTHER NATURAL DISASTERS PROVIDING OFFICER SAFETY WITHOUT PLACING ADDITIONAL FINANCIAL BURDEN ON THE CITY.</t>
  </si>
  <si>
    <t>2YT1PG52138608</t>
  </si>
  <si>
    <t>TRAILER WILL BE USED A MOBILE REHAB POST BY THE GREENE COUNTY SHERIFFS OFFICE. THIS WILL ALLOW OUR OFFICERS A QUIET PLACE TO GO EAT AND TAKE A BREAK WHILE ON ASSIGNMENTS AT EVENTS OR DURING A DISASTER.</t>
  </si>
  <si>
    <t>2YTET652138615</t>
  </si>
  <si>
    <t>TRUCK WILL BE USED BY THE GREENE COUNTY SHERIFFS OFFICE TO INSTALL SURVEILLANCE EQUIPMENT FOR UNDERCOVER OPERATIONS AS WELL AS A VEHICLE FOR OUR MAINTENANCE DIVISION TO DO REPAIRS WHERE A BUCKET TRUCK IS NEEDED</t>
  </si>
  <si>
    <t>2YTET652138607</t>
  </si>
  <si>
    <t xml:space="preserve">THE BRISTOL TENNESSEE POLICE DEPARTMENT WOULD USE THIS TRUCK FOR MOBILE RESPITE AND A MEETING AREA WHEN WE HAVE LOST OR MISSING CHILDREN, DURING A NATURAL DISASTER, DURING STAND-OFF SITUATIONS, DURING HIGH-RISK DRUG SEARCH WARRANTS, OR DURING ACTIVE SHOOTER SITUATIONS TO PROVIDE RELIEF FOR OFFICERS DURING ANY OF THESE OCCURRENCES. THE TRUCK COULD ALSO BE UTILIZED BY OUR EOD TEAM SINCE IT HAS A RAMP ON THE BACK FOR THE ROBOT. 
</t>
  </si>
  <si>
    <t>2YTBJQ52138648</t>
  </si>
  <si>
    <t>THE BRISTOL TENNESSEE POLICE DEPARTMENT WOULD UTILIZE THIS TRUCK TO SERVICE OUR FIXED CAMERAS THAT HELP SOLVE VIOLENT AND NON-VIOLENT CRIME PLACED THROUGHOUT THE CITY. CURRENTLY, LAW ENFORCEMENT HAS TO GET ON A LADDER AND THIS WOULD MAKE IT SAFER FOR OUR STAFF. THE BASE STATES THE TRUCK RUNS AND LAW ENFORCEMENT WOULD OPERATE THIS VEHICLE.</t>
  </si>
  <si>
    <t>2YTBJQ52138645</t>
  </si>
  <si>
    <t>Rejected by ETD1004.  Comments: must be for the PDs use only, not the county .</t>
  </si>
  <si>
    <t>THIS TRUCK WILL SIGNIFICANTLY AIDE THE POLICE DEPARTMENT BY KEEPING ALL OF OUR COUNTY PRISONER TRUSTEES TOGETHER IN ONE VEHICLE WITH ALL OF THE CITY EQUIPMENT THEY NEED IN ONE PLACE.</t>
  </si>
  <si>
    <t>2YTLRG52138663</t>
  </si>
  <si>
    <t>Per State Policy no further property can be requested until your agency has completed its 2025 inventory certification. Please log onto LESO FEPMIS and complete your certification then resubmit your requests.</t>
  </si>
  <si>
    <t>WILL BE. USED BY LAW ENFORCEMENT FOR LAW ENFORCEMENT PURPOSES AND WILL BE USED FOR LIGHT CONTROL SYSTEM WHEN POWER IS OUT AT INTERSECTIONS.</t>
  </si>
  <si>
    <t>2YTJXJ52138714</t>
  </si>
  <si>
    <t>2YTJXJ52138713</t>
  </si>
  <si>
    <t>2YTJXJ52138712</t>
  </si>
  <si>
    <t>2YTJXJ52138711</t>
  </si>
  <si>
    <t>THE MADISONVILLE POLICE DEPARTMENT IS REQUESTING THIS TRUCK FOR USE BY OUR OFFICERS. THIS TRUCK WOULD BE USED AS A MOBILE CRIME SCENE UNIT TO HAUL AND PROCESS SHOOTINGS, THEFTS, AND LARGE ACCIDENTS. DUE TO BUDGET CONSTRAINTS WE ARE CURRENTLY UNABLE TO PURCHASE MUCH NEEDED EQUIPMENT LIKE THIS TRUCK. THANKS</t>
  </si>
  <si>
    <t>2YTG5752138719</t>
  </si>
  <si>
    <t>THE MADISONVILLE POLICE DEPARTMENT IS REQUESTING THIS TRAILER FOR USE BY OUR OFFICERS. THIS TRAILER WOULD BE USED AS A MOBILE EQUIPMENT UNIT FOR OUR METH LAB AND SPECIAL OPERATIONS TEAM DURING ACTIVE SCENES IN RURAL AREAS. INFORMATION GATHERED FROM THE BASE IS THE TRAILER IS FAIR AND USABLE. DUE TO BUDGET CONSTRAINTS WE ARE CURRENTLY UNABLE TO PURCHASE MUCH NEEDED EQUIPMENT LIKE THIS TRAILER. THANKS</t>
  </si>
  <si>
    <t>2YTG5752138718</t>
  </si>
  <si>
    <t>THE MADISONVILLE POLICE DEPARTMENT IS REQUESTING THIS BUCKET TRUCK FOR USE BY OFFICERS. THIS TRUCK WOULD BE USED TO PUT UP SURVEILLANCE AND LICENSE PLATE READING CAMERA FOR THEFT AND DRUG CASES. INFORMATION GATHERED FROM THE BASE IS ITS FAIR CONDITION RUNNING. DUE TO BUDGET CONSTRAINTS WE ARE CURRENTLY UNABLE TO PURCHASE MUCH NEEDED EQUIPMENT LIKE THIS TRUCK. THANKS</t>
  </si>
  <si>
    <t>2YTG5752138716</t>
  </si>
  <si>
    <t>Rejected by EDP0815.  Comments: Item approved for another LEA at the State level..</t>
  </si>
  <si>
    <t>THIS ITEM IS BEING REQUESTED FOR LAW ENFORCEMENT USE ONLY. POLICE OFFICERS WILL USE THIS TRAILER TO STORE AND TRANSPORT EMERGENCY POLICE DEPARTMENT EQUIPMENT FOR MASS CASUALTY INCIDENTS AND NATURAL DISASTERS.</t>
  </si>
  <si>
    <t>2YTPXC52138664</t>
  </si>
  <si>
    <t>FOR THIS LEA ONLY. THE NORTH BERGEN PD WOULD LIKE TO REQUEST THIS VEHICLE FOR OUT PATROL DIVISION. THIS WILL BE UTILIZED AS A COMMAND POST VEHICLE DURING LARGE SCALE EVENTS OR A MOBILE PRECINCT. THANK YOU FOR YOUR CONSIDERATION.</t>
  </si>
  <si>
    <t>2YT1NW52138741</t>
  </si>
  <si>
    <t>Rejected by EJH2476.  Comments: REJECT JH REVIISE JUST.</t>
  </si>
  <si>
    <t>WE ARE A SHERIFF DEPT WITH A LIMITED BUDGET. WE ARE IN NEED OF THIS EQUIPMENT FOR OUR OFFICERS TO MAKE A MOBILE COMMAND CENTER. THIS WOULD BE USED FOR ACTIVE SEARCH AND RESCUE MISSIONS AND ON CRIME SCENES. THIS WOULD ALLOW THE OFFICERS A CENTRAL POST TO SET UP OPERATIONS IN THE FIELD.</t>
  </si>
  <si>
    <t>2YTE4H52138791</t>
  </si>
  <si>
    <t>Rejected by ETD1004.  Comments: APPROVED 2 EARLIER.</t>
  </si>
  <si>
    <t>2YTHQ052068833</t>
  </si>
  <si>
    <t>THIS TRAILER IS REQUESTED BY HOLLY HILL PD, FOR USE BY HOLLY HILL PD OFFICERS TO STORE AND TRANSPORT DEPARTMENT EQUIPMENT TO VARIOUS SCENES.</t>
  </si>
  <si>
    <t>2YTRSD52138760</t>
  </si>
  <si>
    <t>THIS ITEM WILL BE USED TO DO MAINTENANCE ON OUR 3 STORY OFFICE BUILDING AND ALSO USED TO TRIM TREES ALONG OUR FIRING RANGE</t>
  </si>
  <si>
    <t>2YTET652138830</t>
  </si>
  <si>
    <t>Rejected by EOL0097.  Comments: This item is in GSA cycle.  Must be in DOD cycle to request..</t>
  </si>
  <si>
    <t>THESE ITEMS ARE BEING REQUESTED BY THE CLARKE COUNTY SHERIFF'S OFFICE, TO BE USED BY LAW ENFORCEMENT OFFICERS FOR LAW ENFORCEMENT PURPOSES. THE REQUESTED CHARGER, BATTERY, WILL BE UTILIZED BY OFFICERS FOR RECHARGING LAW ENFORCEMENT VEHICLE BATTERIES.</t>
  </si>
  <si>
    <t>2YTCFX52028183</t>
  </si>
  <si>
    <t>THESE ITEMS ARE BEING REQUESTED BY THE CLARKE COUNTY SHERIFF'S OFFICE, TO BE USED BY LAW ENFORCEMENT OFFICERS FOR LAW ENFORCEMENT PURPOSES. THE REQUESTED CART, MOTORIZED, WILL BE UTILIZED BY LAW ENFORCEMENT OFFICERS FOR TRANSPORTATION OF TRAINING SUPPLIES AND EQUIPMENT.</t>
  </si>
  <si>
    <t>2YTCFX52027757</t>
  </si>
  <si>
    <t>THESE ITEMS ARE BEING REQUESTED BY THE CLARKE COUNTY SHERIFF'S OFFICE, TO BE USED BY LAW ENFORCEMENT OFFICERS FOR LAW ENFORCEMENT PURPOSES. THE REQUESTED HEAT GUN, ELECTRIC, WILL BE UTILIZED BY LAW ENFORCEMENT OFFICERS FOR MAINTENANCE AND REPAIRS OF VEHICLES AND FACILITY.</t>
  </si>
  <si>
    <t>HEAT GUN,ELECTRIC</t>
  </si>
  <si>
    <t>2YTCFX52027756</t>
  </si>
  <si>
    <t>THESE ITEMS ARE BEING REQUESTED BY THE CLARKE COUNTY SHERIFF'S OFFICE, TO BE USED BY LAW ENFORCEMENT OFFICERS FOR LAW ENFORCEMENT PURPOSES. THE REQUESTED SHIPPING CASE(S), WILL BE UTILIZED BY LAW ENFORCEMENT OFFICERS FOR STORAGE OF TRAINING DEVICES AND EQUIPMENT.</t>
  </si>
  <si>
    <t>2YTCFX52027755</t>
  </si>
  <si>
    <t>Rejected by EDP0815.  Comments: LEA not authorized by their civilian governing body to obtain this item type which is 1033 Program policy in New Jersey. .</t>
  </si>
  <si>
    <t>THIS ITEM WILL BE UTILIZED STRICTLY BY LEOS OF THIS LEA DURING NIGHTTIME RESPONSE AND ALLOW OFFICERS TO LOCATE MISSING PERSONS, BOATERS IN DISTRESS, SWIMMERS IN DISTRESS, AND FLEEING SUSPECTS.</t>
  </si>
  <si>
    <t>2YTK2052138886</t>
  </si>
  <si>
    <t>Rejected by EJC2716.</t>
  </si>
  <si>
    <t>2YTRSD52068764</t>
  </si>
  <si>
    <t>Rejected by EDP0815.  Comments: In addition to obtaining authorization from their civilian governing to obtain this item type, the LEA must also have prior authorization from DLA to obtain this item type via a DLA approved armored vehicle request form. The NJ LESO will send the LEA an armored vehicle request form package..</t>
  </si>
  <si>
    <t>THIS VEHICLE WILL BE UTILIZED BY THE SOUTH PLAINFIELD POLICE DEPARTMENT FOR INCLEMENT WEATHER AND HAZARDOUS CONDITION RESPONSE SUCH AS HIGH WATER RESCUE OPERATIONS. CURRENTLY WE HAVE 2 HMMWV'S THAT WERE PREVIOUSLY OWNED BY OTHER JURISDICTIONS THAT ARE INOPERABLE. WE PLAN TO OUTFIT THESE VEHICLES WITH WATER FORDING KITS.</t>
  </si>
  <si>
    <t>2YTK9G52138983</t>
  </si>
  <si>
    <t>THIS VEHICLE WILL BE UTILIZED BY THE SOUTH PLAINFIELD POLICE DEPARTMENT FOR INCLEMENT WEATHER AND HAZARDOUS CONDITIONS  EMERGENCY RESPONSE, SUCH AS HIGH WATER RESCUES. WE CURRENTLY HAVE TWO HMMWV'S WHICH WERE OWNED BY OTHER JURISDICTIONS THAT ARE INOPERABLE. WE PLAN TO OUTFIT THESE VEHICLES WITH FORDING KITS TO ENABLE US TO ENTER HIGH WATER.</t>
  </si>
  <si>
    <t>2YTK9G52068984</t>
  </si>
  <si>
    <t>Rejected by ECH00100.  Comments: No days left-CH.</t>
  </si>
  <si>
    <t>THE EVANSVILLE POLICE DEPARTMENT WOULD USE THESE TO ASSIST WITH OUT TACTICAL OBSERVERS FOR OVERWATCH OF LARGE OUTDOOR SPECIAL EVENTS. OUR RIVER PATROL WOULD ALSO USE ON THE OHIO RIVER TO MEASURE DISTANCE TO HAZARDS.</t>
  </si>
  <si>
    <t>2YTDV452068918</t>
  </si>
  <si>
    <t>EVANSVILLE POLICE DEPTMENT (2YTDV4)</t>
  </si>
  <si>
    <t>THE EVANSVILLE POLICE DEPT. WOULD USE THESE FOR OUR TACTICAL SWAT TEAM.  WE HAD 45 CALLOUTS IN 2024 AND 16 ASSISTS USING ON DUTY SWAT OFFICERS.  WE HAVE 25 OFFICERS ON THE SWAT TEAM.</t>
  </si>
  <si>
    <t>2YTDV452068914</t>
  </si>
  <si>
    <t>Rejected by EED0396.</t>
  </si>
  <si>
    <t>IR LASER EMITTERS NEEDED FOR SWAT TEAM RIFLES TO SAFEGUARD CITIZENRY AND COUNTER-NARCOTICS OPERATIONS.</t>
  </si>
  <si>
    <t>2YTEAT52139039</t>
  </si>
  <si>
    <t>Rejected by EJC2716.  Comments: must be new in box for tablet.</t>
  </si>
  <si>
    <t>2YTHBS52139141</t>
  </si>
  <si>
    <t>Rejected by EJH2476.  Comments: REJECT JH.</t>
  </si>
  <si>
    <t>THIS VEHICLE WILL BE USED TO AIDE OUR POLICE DEPARTMENT FOR CODES ENFORCEMENT AND ANIMAL CONTROL WITHIN THE CITY LIMITS. THE CITY WILL ASSUME ALL COSTS FOR REPAIRS, IF NEEDED.</t>
  </si>
  <si>
    <t>2YTLRG52209210</t>
  </si>
  <si>
    <t>2YTJKM52209281</t>
  </si>
  <si>
    <t>Rejected by EJH2476.  Comments: REJECT JH OVER ALLOC.</t>
  </si>
  <si>
    <t>THE MADISONVILLE POLICE DEPARTMENT IS REQUESTING THIS UNIT FOR USE BY OUR OFFICERS. OUR CITY IS LOCATED IN THE 6TH LARGEST LAND COUNTY IN THE STATE WHICH IS VERY RURAL AND MOUNTAINOUS. THIS UNIT WOULD BE CONVERTED OVER TO A MOBILE CRIME SCENE, HAZMAT, AND TACTICAL EQUIPMENT HAULING VEHICLE. INFORMATION GATHERED FROM THE BASE IS THIS UNIT IS USEABLE. DUE TO BUDGET CONSTRAINTS WE ARE CURRENTLY UNABLE TO PURCHASE MUCH NEEDED EQUIPMENT LIKE THIS UNIT. THANKS</t>
  </si>
  <si>
    <t>2YTG5752209201</t>
  </si>
  <si>
    <t>THIS TRAILER IS REQUESTED BY HOLLY HILL PD, FOR USE BY HOLLY HILL PD OFFICERS TO STORE AND TRANSPORT POLICE DEPARTMENT EQUIPMENT TO VARIOUS SCENES SUCH AS BUT NOT LIMITED TO SEARCH AND RESCUE, NATURAL DISASTERS, AND CRIME SCENES.</t>
  </si>
  <si>
    <t>2YTRSD52209358</t>
  </si>
  <si>
    <t>Rejected by ETD1004.  Comments: over allocation based on two other requisitions submitted today.</t>
  </si>
  <si>
    <t>GAINESBORO POLICE NEEDS THESE TO OUTFIT SMALL ARMS TO ACTIVE SHOOTER AND EVERYDAY PATROL TO MAKE IT SAFER FOR OFFICERS WE KNOW THAT THE CONDITION IS F AND WILLING TO WORK ON THEM</t>
  </si>
  <si>
    <t>2YTEF652209465</t>
  </si>
  <si>
    <t>Rejected by ETD1004.  Comments: i .</t>
  </si>
  <si>
    <t>GAINESBORO POLICE WILL USE THESE TO OUTFIT OUR SMALL ARMS FOR BETTER SAFETY TO OUR OFFICERS AND WILL BE USED FOR LAW ENFORCEMENT ONLY</t>
  </si>
  <si>
    <t>2YTEF652209463</t>
  </si>
  <si>
    <t>Rejected by ETD1004.  Comments: I approve 9 only .</t>
  </si>
  <si>
    <t>2YTEF652209462</t>
  </si>
  <si>
    <t>GAINESBORO POLICE CAN USE THESE ON OUR RIFLES IF WE HAVE ACTIVE SHOOTER IN GAINESBORO JACKSON CO</t>
  </si>
  <si>
    <t>2YTEF652209454</t>
  </si>
  <si>
    <t>THE OPTICS ARE BEING REQUESTED BY THE USC AIKEN POLICE DEPARTMENT, TO BE USED BY USC AIKEN POLICE DEPARTMENT OFFICERS, IN TARGET ACQUISITION DURING CRITICAL INCIDENTS.</t>
  </si>
  <si>
    <t>2YTRQK52139410</t>
  </si>
  <si>
    <t>UNIV. OF S. CAROLINA AIKEN PD HI_ED (2YTRQK)</t>
  </si>
  <si>
    <t>NIGHTTIME OPERATIONS AND SPECIAL WEAPONS AND TACTICS.</t>
  </si>
  <si>
    <t>VIEWER KIT,NIGHT VISION</t>
  </si>
  <si>
    <t>2YTLK152209492</t>
  </si>
  <si>
    <t>SUMMERVILLE POLICE DEPT (2YTLK1)</t>
  </si>
  <si>
    <t>NIGHT TIME OPERATIONS AND SWAT INCIDENTS.</t>
  </si>
  <si>
    <t>2YTLK152139509</t>
  </si>
  <si>
    <t>Rejected by EJH2476.  Comments: REJECT JH NEED REQ PACKET.</t>
  </si>
  <si>
    <t>THE ELIZABETHTON POLICE DEPARTMENT NEEDS THIS VEHICLE TO SUPPORT DAILY PUBLIC SAFETY OPERATIONS WHEN OFFICERS NEED A TRUCK TO HAUL EQUIPMENT OR RECOVER PROPERTY.  ADDITIONALLY THE TRUCK WOULD BE USED TO PULL DEPARTMENT EQUIPMENT TRAILERS TO EMERGENCIES AND INCIDENTS.  THIS WOULD ALSO BE USED IN TIMES OF BAD WEATHER AND RESPONSE TO DISASTERS.</t>
  </si>
  <si>
    <t>2YTDP252209518</t>
  </si>
  <si>
    <t>FOR DEPARTMENT USE ONLY. WILL BE USED TO REPLACE BAD BATTERY SWITCHES ON DEPARTMENT GENERATORS.</t>
  </si>
  <si>
    <t>SWITCH,ROTARY</t>
  </si>
  <si>
    <t>2YTLP852139572</t>
  </si>
  <si>
    <t>Rejected by EJH2476.  Comments: REJECT JH COND H.</t>
  </si>
  <si>
    <t>THE MADISONVILLE POLICE DEPARTMENT IS REQUESTING THIS TRACTOR FOR USE BY OUR OFFICERS. OUR DEPARTMENT IS BLESSED TO HAVE A LARGE AREA TRAINING FACILITY. THIS TRACTOR WOULD BE USED TO UPKEEP THAT TRAINING CENTER GROUNDS BY MOWING, LOADING LARGE EVIDENCE, AND BUILDING SHOOTING BACKSTOPS. DUE TO BUDGET CONSTRAINTS WE ARE CURRENTLY UNABLE TO PURCHASE MUCH NEEDED EQUIPMENT LIKE THIS UNIT. THANKS</t>
  </si>
  <si>
    <t>2YTG5752209566</t>
  </si>
  <si>
    <t>THE REQUESTED ITEMS WILL BE FOR USE BY DEPUTIES OF THE MARLBORO COUNTY SHERIFF'S OFFICE.</t>
  </si>
  <si>
    <t>2YTHBS52209561</t>
  </si>
  <si>
    <t>ITEM REQUESTED BY CLINTON PD TO BE USED BY CLINTON PD OFFICERS FOR EMERGENCY OPERATIONS. THIS VEHICLE WILL BE PART OF THE CPD FLEET</t>
  </si>
  <si>
    <t>2YTCJX52209605</t>
  </si>
  <si>
    <t>TO BE PLACED IN LAW ENFORCEMENT VEHICLES TO UNNECESSARY PREVENT BATTERY USAGE DURING DOWN TIME LEAVING BATTERIES DEAD.</t>
  </si>
  <si>
    <t>2YTEZF52139643</t>
  </si>
  <si>
    <t>Rejected by EAC2834.</t>
  </si>
  <si>
    <t>2YTC8P52279742</t>
  </si>
  <si>
    <t>Rejected by EBB00531.</t>
  </si>
  <si>
    <t>WE ARE BOAZ POLICE IN BOAZ, ALABAMA. NIGHT VISION BINOCULARS ARE A LUXURY WE DO NOT HAVE. I WOULD LIKE TO REQUEST THESE FOR MY OFFICERS. IT WOULD ASSIST IN DRUG INTERDICTIONS AND SURVEILLANCE INVESTIGATIONS. THIS IS UPGRADE OUR ABILITIES TO PURSUE FLEEING FELONS HIDING IN THE DARK. I APPRECIATE YOUR CONSIDERATION</t>
  </si>
  <si>
    <t>2YTBCH52279738</t>
  </si>
  <si>
    <t>WE ARE BOAZ POLICE WE ARE COMING TO PICK UP A VEHICLE. NIGHT VISION BINOCULARS ARE A LUXURY WE DO NOT HAVE. I WOULD LIKE TO REQUEST THESE FOR MY OFFICERS. IT WOULD ASSIST IN DRUG INTERDICTIONS AND SURVEILLANCE INVESTIGATIONS. THIS IS UPGRADE OUR ABILITIES TO PURSUE FLEEING FELONS HIDING IN THE DARK. I APPRECIATE YOUR CONSIDERATION</t>
  </si>
  <si>
    <t>2YTBCH52279737</t>
  </si>
  <si>
    <t>TO USE ON PATROL TO FIND SUBJECT WHOM HAS FLED IN REMOTE AREAS</t>
  </si>
  <si>
    <t>2YTBCH52279661</t>
  </si>
  <si>
    <t>WE ARE BOAZ  POLICE. BINOCULARS ARE PERSONALLY BOUGHT EQUIPMENT FOR US. I HAVE SEEN VERY FEW IN USE. HOWEVER, THEY ARE VERY EFFECTIVE AT OBSERVATION FROM A LONG DISTANCE. MY DETECTIVES HAVE REQUESTED THAT I SEARCH FOR SUCH EQUIPMENT. THE WOULD BE USED FOR PATROL OR INVESTIGATIONS AND UPGRADE OUR ABILITIES TREMENDOUSLY. THANK YOU FOR YOUR TIME.</t>
  </si>
  <si>
    <t>2YTBCH52209745</t>
  </si>
  <si>
    <t>TO BE USED ON PATROL AND ON TACTICAL WARRANT SERVING TO BE MORE STELTH</t>
  </si>
  <si>
    <t>2YTBCH52209666</t>
  </si>
  <si>
    <t>NEEDING IR CAPABILITY FOR SWAT TEAM TO USE WITH NIGHTVISION.</t>
  </si>
  <si>
    <t>2YTNS652279828</t>
  </si>
  <si>
    <t>Rejected by ETD1004.  Comments: approved an earlier tractor for this  agency.</t>
  </si>
  <si>
    <t>THE VONORE POLICE DEPARTMENT WOULD UTILIZE THIS ITEM MAINTAINING THE DEPARTMENT IMPOUND LOT. THIS ITEM WOULD ALSO BE USED TO MOVE SEIZED VEHICLE, TRAILERS, AND DEPARTMENT ITEMS. THE DEPARTMENT WILL ACCEPT THIS TRACTOR IN CURRENT CONDITION.</t>
  </si>
  <si>
    <t>2YTM3P52279802</t>
  </si>
  <si>
    <t>Rejected by ELG00055.  Comments: LESO does not release UAVs through the program.</t>
  </si>
  <si>
    <t>THE OAKLAND COUNTY SHERIFFS OFFICE REQUESTS A FIXED-WING DRONE TO SUPPORT WIDE-AREA OBSERVATION, SEARCH AND RESCUE, AND LONG DURATION OPERATIONS. OAKLAND COUNTY SPANS 900 SQUARE MILES CREATING OPERATIONAL GAPS FOR TRADITIONAL SYSTEMS. A FIXED-WING UAS OFFERS EXTENDED RANGE, SPEED, AND ENDURANCE, FILLING THIS GAP AND ENHANCING RESPONSE DURING LARGE-SCALE INCIDENTS THAT A TRADITIONAL QUADCOPTER CANNOT FILL.</t>
  </si>
  <si>
    <t>2YT1WK52200004</t>
  </si>
  <si>
    <t>Rejected by EAZ0039.  Comments: DTID begins with 2YT. The NJ LESO is no longer approving these previously turned in items..</t>
  </si>
  <si>
    <t>THIS ITEM WILL BE USED EXCLUSIVELY BY LEOS FROM THIS LEA. THIS TRAILER WILL BE USED TO STORE AND TRANSPORT TRAFFIC CONES, SIGNAGE, ROAD CLOSURE MATERIALS, AND OTHER TRAFFIC INVESTIGATION MATERIALS USED BY THIS LEA TRAFFIC UNIT.</t>
  </si>
  <si>
    <t>2YTK2052190066</t>
  </si>
  <si>
    <t>Rejected by EJR01036.  Comments: Cannot be awarded further property until your LEA is completed annual inventory. Complete your inv cert in FEPMIS and resubmit. TX LESO.</t>
  </si>
  <si>
    <t>TO BE STORED AT THE SAN MARCOS POLICE DEPARTMENT AND UTILIZED BY CRIME SCENE TECHS AND INVESTIGATORS FOR THE VIEWING AND ANALYZING OF EVIDENTIARY ITEMS.</t>
  </si>
  <si>
    <t>2YTKPP52270089</t>
  </si>
  <si>
    <t>TO BE STORED AT SAN MARCOS POLICE DEPARTMENT AND ISSUED TO OFFICERS FOR SELF AID BUDDY AID DURING CRITICAL INCIDENTS.</t>
  </si>
  <si>
    <t>2YTKPP52270088</t>
  </si>
  <si>
    <t>Rejected by EJR01036.  Comments: LESO customers are only allowed to request in DOD and RTD2 Cycles. This item is currently in the Federal GSA Cycle.  TX LESO.</t>
  </si>
  <si>
    <t>THIS EQUIPMENT WILL BE USED FOR LAW ENFORCEMENT PURPOSES ONLY. THE CITY OF GRANITE SHOALS IS LOCATED AND TOUCHES LAKE LBJ, WHICH IS PRONE TO FLOODING IN SOME AREAS. WE HAVE OVER EIGHTEEN THOUSAND FEET OF WATERFRONT PROPERTY WITH SEVERAL RESIDENCES ALONG THIS LENGTH. THOSE RESIDENCES HAVE SEVERAL KEY INFRASTRUCTURES SUCH AS DRAINS, AND MECHANISMS THAT ARE PRONE TO DAMAGE IF THEY WERE TO BE SUBMERGED FOR LENGTHY PERIODS OF TIME. WE COULD USE THIS EQUIPMENT TO ASSIST OUR LIMITED RESOURSES.</t>
  </si>
  <si>
    <t>2YTERJ52200096</t>
  </si>
  <si>
    <t>Rejected by ETD1004.  Comments: already approved for another agency.</t>
  </si>
  <si>
    <t>TO HELP COMBAT THE WAR ON DRUGS. TELLICO POLICE DEPT WILL ASSUME ANY COSTS AND EXPENSES.</t>
  </si>
  <si>
    <t>2YTLRG52340116</t>
  </si>
  <si>
    <t>Sir,
You have to clear your receipt queue before being awarded further property.  Please respond to the two emails sent to you by TX LESO.  Please clear your receipt queue then resubmit. Thank you.</t>
  </si>
  <si>
    <t>WILL BE USED BY LAW ENFORCEMENT FOR LAW ENFORCEMENT.  WILL BE ADDED TO NEW POLICE DEPARTMENT NETWORK TO POWER POLICE DEPARTMENT NETWORK SWITCHES IN PD NETWORK</t>
  </si>
  <si>
    <t>2YTJXJ52340157</t>
  </si>
  <si>
    <t>Rejected by EJR01036.  Comments: Please clear receipt queue in FEPMIS first then resubmit. TX LESO.</t>
  </si>
  <si>
    <t>WILL BE USED FOR LAW ENFORCEMENT FOR LAW ENFORCMENT.  WILL BE ADDED TO CURRENT PD NETWORK TO ALLOW TO ADD ADDITIONAL EQUIPMENT</t>
  </si>
  <si>
    <t>2YTJXJ52340156</t>
  </si>
  <si>
    <t>Rejected by ETD1004.  Comments: approved for earlier requisitioners only 1 left.</t>
  </si>
  <si>
    <t>THE BRISTOL TENNESSEE POLICE DEPARTMENT WOULD USE THESE ALL TERRAIN VEHICLES TO PATROL OUR PARKS ALLOWING FOR OFFICERS TO BETTER ACCESS REMOTE AREAS. THESE WOULD ALSO BE UTILIZED TO PATROL CAMPGROUNDS THAT ARE DIFFICULT FOR OFFICERS TO RESPOND ON CALLS TO WHEN THEY ARE CROWDED. THE BASE STATES THESS DO RUN AND ARE OPERATIONAL.</t>
  </si>
  <si>
    <t>2YTBJQ52340152</t>
  </si>
  <si>
    <t>Rejected by ETD1004.  Comments: approved for another agency earlier.</t>
  </si>
  <si>
    <t>THIS ITEM IS INTENDED FOR USE BY THE GLEASON POLICE DEPARTMENT ONLY. THIS ITEM WOULD ONLY BE USED ON THE TRAINING FACILITY GROUNDS.  THIS ITEM WOULD BE USED TO TRANSPORT PERSONNEL TO AND FROM THE FIRING RANGE. THIS ITEM WOULD ALSO BE USED TO TRANSPORT TARGETS AND STANDS FOR THE FIRING RANGE.</t>
  </si>
  <si>
    <t>2YTEMC52340340</t>
  </si>
  <si>
    <t>Rejected by EDA1016.</t>
  </si>
  <si>
    <t>USED TO REPLACE THE EXISTING TIRES ON THREE REGIONAL SWAT ARMORED PERSONNEL CARRIERS THAT SERVICE WHATCOM, SKAGIT AND ISLAND COUNTIES.</t>
  </si>
  <si>
    <t>2YTH6K52340464</t>
  </si>
  <si>
    <t>Rejected by S9D4398.  Comments: Submitted at request of SC due to access issue involving new OKTA process..</t>
  </si>
  <si>
    <t>UNIT WILL BE USED BY GC PARK RANGERS TO RELOCATE EQUIPMENT AROUND IT'S 11,000 ACRES OF PARK LANDS</t>
  </si>
  <si>
    <t>2YTPEQ52340321</t>
  </si>
  <si>
    <t>Rejected by EJC2716.  Comments: not issuable due to the armor kit.</t>
  </si>
  <si>
    <t xml:space="preserve">PICKEN COUNTY SHERIFF'S OFFICE, FOR SPECIAL RESPONSE UNITS. TO BE USED FOR SEARCH AND RESCUE OPERATIONS WITHIN OUR RURAL TERRAIN. ALONG WITH RECOVERY AND TRANSPORTATION OF EQUIPMENT IN THE FIELD DURING THESE OPERATIONS. THIS VEHICAL WILL ALSO BE USED FOR PROTECTING OF OUR OPERATERS WHILE EXICUTING HIGH RISK WARRANTS.I UNDERSTAMD AND ACCEPT THE CODITION F
</t>
  </si>
  <si>
    <t>2YTJL952270645</t>
  </si>
  <si>
    <t>2YTRSD52340318</t>
  </si>
  <si>
    <t>Rejected by ETD1004.  Comments: approved an earlier requisition for this purpose..</t>
  </si>
  <si>
    <t>THIS ASSET WOULD BENEFIT THIS AGENCY AND OFFICERS BY ALLOWING US TO USE OUR CURRENT MULE THAT HAS A BLOWN ENGINE AS PARTS TO MAKE THIS ONE WORK TO BE USED AS A TRAINING VEHICLE FOR SPECIAL OPERATIONS TRAINING AND RANGE MAINTENANCE AT OUR TRAINING FACILITY. THIS WOULD ALLOW OUR TRAINING OFFICERS A  MORE EFFICIENT WAY TO SET UP AND COVER TRAINING EXCERCISES AS WELL AS CLEANUP AFTER SUCH TRAININGS. THIS ASSET WOULD BE REPAIRED IF NEEDED.</t>
  </si>
  <si>
    <t>2YTS0852410759</t>
  </si>
  <si>
    <t>Rejected by ETD1004.  Comments: approved similar item earlier.</t>
  </si>
  <si>
    <t>THIS ASSET WOULD BENEFIT THIS AGENCY AND OFFICERS BY ALLOWING US TO REPAIR AND ENHANCE OUR IMPOUND PARKING AREA AS WELL AS OUR PARKING AND SHOOTING AREA ON THE SHOOTING RANGE. THIS ASSET WOULD BE REPAIRED IF NEEDED</t>
  </si>
  <si>
    <t>2YTS0852410758</t>
  </si>
  <si>
    <t>Rejected by ETD1004.  Comments: approved for another agency.</t>
  </si>
  <si>
    <t>THIS ASSET WOULD BENEFIT OUR AGENCY AND OFFICERS BY ALLOWING THEM TO UTILIZE THIS TO STORE AND TRANSPORT OUR HIGHWAY DISASTER EQUIPMENT THIS WOULD ALLOW US TO STORE CONES, SIGNS, BARRICADE AND OTHER MATERIALS TO CLOSE OR REDIRECT A ROADWAY IN CASES OF SEVERE INCIDENTS. THIS WOULD INCREASE EFFICIENCY AND ASSIST IN PUBLIC SAFETY. WE WOULD REPAIR THIS ASSET IF NEEDED</t>
  </si>
  <si>
    <t>2YTS0852410734</t>
  </si>
  <si>
    <t>Rejected by ETD1004.  Comments: approved for a previous requisitioner.</t>
  </si>
  <si>
    <t>THIS ASSETE WOULD BENEFIT OUR AGENCY BY ALLOWING US UTILIZE THIS ASSET WOULD HAUL AND PULL OUR EVIDENCE AND EMERGENCY RESPONSE TRAILERS TO AREAS WHERE THEY ARE NEEDED. THIS ASSET WOULD ALSO BENEFIT OUR OFFICERS BY ALLOWING US TO USE IT TO TRANSPORT ITEMS IN THE BED OF THE VEHICLE THAT ARE CAUSTIC OR DANGEROUS  INSTEAD OF TRANSPORTING THEM IN AN SUV. WE WOULD REPAIR THIS VEHICLE FOR USE</t>
  </si>
  <si>
    <t>2YTS0852410733</t>
  </si>
  <si>
    <t>THIS ASSET WOULD BENEFIT OUR AGENCY AND OFFICERS BY ALLOWING US TO UTILIZE THIS AS A EMERGENCY RESPOSE TRAILER TO INCIDENTS THAT REQUIRE TRANSPORTING FOOD OR OTHER TIEMS THAT HAVE TO REMAIN COOL. IT WOULD ASSIST IN COLLECTING AND TRANSPORTING ITEMS OF EVIDENCE THAT ARE SENSITIVE TO HEAT TO TRANSPORT THEM DIRECTLY TO THE STATE LAB FOR TESTING.</t>
  </si>
  <si>
    <t>2YTS0852410725</t>
  </si>
  <si>
    <t>Rejected by ETD1004.</t>
  </si>
  <si>
    <t>THIS ASSET WOULD BENEFIT OUR AGENCY AND OFFICERS BY ALLOWING US TO UTILIZE THIS FOR PATROL AND RESPONSE DURING SPECIAL EVENTS BY ALLOWING US TO TRANSPORT PERSONNEL AND EQUIPMENT TO AND FROM THE LOCATION AS WELL AS SETUP AND TEAR DOWN OF OUR BASE STATION TENT. THIS WOULD ALLOW OFFICERS TO MORE EFFECTIVELY RESPOND AS WELL AS MAINTAIN SAFETY OF TRANSPORTING ARRESTED OR INJURED PATRONS DURING SUCH EVENT. WE WOULD REPAIR THIS AS NECESSARY.</t>
  </si>
  <si>
    <t>TRUCK,PANEL</t>
  </si>
  <si>
    <t>2YTS0852340769</t>
  </si>
  <si>
    <t>Rejected by EDP0815.  Comments: Not enough info listed in the DTID characteristics information page for this item to include no photo in the listing. Due to the high original acquisition cost of this item, 975,600.00 and the fact that the item is DEMIL Code C, our office must be able to identify the item prior to approving same. Please ask the base to post photos of the item in RTD if you are still interested in trying to obtain same.   .</t>
  </si>
  <si>
    <t>2YT15D52410740</t>
  </si>
  <si>
    <t>Rejected by ETD1004.  Comments: approved for an earlier requisitoner.</t>
  </si>
  <si>
    <t>2YTEMC52410865</t>
  </si>
  <si>
    <t>Rejected by ETD1004.  Comments: approved a previous similar item.</t>
  </si>
  <si>
    <t>2YTS0852410777</t>
  </si>
  <si>
    <t>THIS ASSET WOULD BENEFIT THIS AGENCY AND OUR OFFICERS BY ALLOWING US TO UTILIZE THIS ASSET AS A PATROL VEHICLE. THIS ASSET WOULD BE UTILIZED FOR UNMARKED PATROL AND CRIMINAL INVESTIGATIONS . WE WOULD REPAIR THIS ASSET AS NEEDED</t>
  </si>
  <si>
    <t>2YTS0852340775</t>
  </si>
  <si>
    <t>Rejected by ERB0342.</t>
  </si>
  <si>
    <t>THIS VEHICLE WOULD BE USED BY OFFICERS OF THE POLICE DEPARTMENT FOR SPECIAL OPERATIONS.  THIS WOULD BE USED FOR SPECIAL EVENTS AS WELL AS SEARCH AND RESCUE OPERATIONS.  PROVIDING A MUCH NEEDED RESOURCE</t>
  </si>
  <si>
    <t>2YTC8P52410859</t>
  </si>
  <si>
    <t xml:space="preserve">THIS VEHICLE WOULD BE USED BY OFFICERS OF THE POLICE DEPARTMENT FOR SPECIAL OPERATIONS.  THIS WOULD BE USED FOR SPECIAL EVENTS AS WELL AS SEARCH AND RESCUE OPERATIONS.  PROVIDING A MUCH NEEDED RESOURCE 
</t>
  </si>
  <si>
    <t>2YTC8P52410858</t>
  </si>
  <si>
    <t xml:space="preserve">THIS TRAILER WOULD BE USED FOR THE POLICE DEPARTMENT AND POLICE OFFICERS AS COMMAND TRAILER FOR INCIDENT RESPONSE AND EMERGENCY OPERATIONS.  NO POLICE DEPARTMENT IN OUR AREA HAS A COMMAND TRAILER LIKE THIS RESOURCE SO IT WOULD PROVIDE A RESOURCE WE DO NOT CURRENTLY HAVE ACCESS TO CURRENTLY.  
</t>
  </si>
  <si>
    <t>2YTC8P52410857</t>
  </si>
  <si>
    <t xml:space="preserve">THE POLICE DEPARTMENT WOULD USE THESE TELESCOPING MAST FOR SPECIAL EVENTS, SURVEILLANCE, AND EMERGENCY COMMUNICATIONS. PROVIDES ELEVATED CAMERA OR ANTENNA PLACEMENT TO SUPPORT PUBLIC SAFETY, SITUATIONAL AWARENESS, AND INTEROPERABILITY DURING INCIDENTS. DEPLOYABLE QUICKLY TO ENHANCE VISIBILITY OR RESTORE COMMS WHEN NEEDED.
</t>
  </si>
  <si>
    <t>2YTC8P52410856</t>
  </si>
  <si>
    <t xml:space="preserve">THIS TRAILER WOULD BE USED FOR THE POLICE DEPARTMENT AND POLICE OFFICERS FOR INCIDENT RESPONSE AND EMERGENCY OPERATIONS.  NO POLICE DEPARTMENT IN OUR AREA HAS A TRAILER LIKE THIS RESOURCE SO IT WOULD PROVIDE A RESOURCE WE DO NOT CURRENTLY HAVE ACCESS TO CURRENTLY.  
</t>
  </si>
  <si>
    <t>2YTC8P52410855</t>
  </si>
  <si>
    <t xml:space="preserve">THIS VEHICLE WOULD BE USED BY THE POLICE DEPARTMENT FOR SPECIAL OPERATIONS AS WELL AS HAULING FOUND PROPERTY.  THIS WOULD ALSO TRANSPORT THE POLICE RADAR TRAILER AS WELL AS ACT A SPARE VEHICLE FOR SPECIAL EVENTS AND USED BY POLICE OFFICERS TO TRAVEL FOR TRAINING PROVIDING A MUCH NEEDED RESOURCE OUR DEPARTMENT LACKS CURRENTLY.
</t>
  </si>
  <si>
    <t>2YTC8P52410854</t>
  </si>
  <si>
    <t>Rejected by ECG1611.  Comments: Need justification more in line with law enforcement specific.</t>
  </si>
  <si>
    <t>THESE WILL BE USED BY LAW ENFORCEMENT DURING COMMUNITY OUTREACH EVENTS, FESTIVALS AND THE COUNTY FAIR TO PATROL AREAS AND PROVIDE TRANSPORTATION TO ELDERLY AND HANDICAP.</t>
  </si>
  <si>
    <t>2YTNUS52411090</t>
  </si>
  <si>
    <t>2YTNUS52341092</t>
  </si>
  <si>
    <t>2YTNUS52341091</t>
  </si>
  <si>
    <t>Rejected by EAZ0039.  Comments: LEA does not have a current armored vehicle request form on file to authorize this acquisition. Previous armored vehicle request from 2020 has been satisfied..</t>
  </si>
  <si>
    <t>THIS LEA IS RESPECTFULLY REQUESTING THE ABOVE ITEM TO REPLACE AN OLDER VERSION THAT HAS CURRENTLY BECOME UNSERVICEABLE.  THIS VEHICLE WILL USED FOR RESCUE PURPOSES TO ENHANCE OFFICER SAFETY WHILE OPERATING IN THE VAST OFFROAD TERRAIN THAT ENCOMPASSES THE TOWN.</t>
  </si>
  <si>
    <t>2YTG7Y52411089</t>
  </si>
  <si>
    <t>Rejected by ECG1611.</t>
  </si>
  <si>
    <t>THESE WILL BE USED BY LAW ENFORCEMENT FOR PATROLS AND RESPONSE DURING SPECIAL EVENTS WE HAVE TO SECURE.</t>
  </si>
  <si>
    <t>2YTNUS52411119</t>
  </si>
  <si>
    <t>2YTNUS52341122</t>
  </si>
  <si>
    <t>2YTNUS52341120</t>
  </si>
  <si>
    <t>Rejected by EGW0511.</t>
  </si>
  <si>
    <t>THE SCOTLAND COUNTY SHERIFF'S OFFICE IS LOOKING TO ACQUIRE TWO LONG RANGE RIFLE SCOPES TO BE UTILIZED BY MEMBERS OF OUR SWAT SNIPER TEAMS.</t>
  </si>
  <si>
    <t>2YTKUK52411139</t>
  </si>
  <si>
    <t>THE ASHE COUNTY SHERIFF'S OFFICE REQUEST THESE ITEMS FOR COUNTER-DRUG ENFORCEMENT. THESE SCOPES WOULD ALLOW OUR DEPUTIES TO VIEW TARGET HOUSES FROM A DISTANCE AND FOR TACTICAL OPERATIONS.</t>
  </si>
  <si>
    <t>2YTA0F52411131</t>
  </si>
  <si>
    <t>OUR POLICE DEPARTMENT CURRENTLY HAD 4 FULL TIME OFFICERS THAT WE ARE LOOKING TO EQUIP WITH PATROL RIFLES.</t>
  </si>
  <si>
    <t>2YT0L452411049</t>
  </si>
  <si>
    <t>Rejected by EJC2716.  Comments: trucks are not issuable due to specific armor pack.</t>
  </si>
  <si>
    <t>PICKEN COUNTY SHERIFF'S OFFICE IS ACQUIRING A VEHICLE FOR SPECIAL RESPONSE UNITS TO BE UTILIZED IN SEARCH AND RESCUE OPERATIONS ACROSS OUR RURAL TERRAIN. THIS VEHICLE WILL AID IN THE RECOVERY AND TRANSPORTATION OF EQUIPMENT DURING THESE MISSIONS. ADDITIONALLY, IT WILL SERVE TO PROTECT OUR OPERATORS WHILE EXECUTING HIGH-RISK WARRANTS. I UNDERSTAND AND ACCEPT THE CONDITIONS OUTLINED IN SECTION H.</t>
  </si>
  <si>
    <t>2YTJL952410822</t>
  </si>
  <si>
    <t>PICKEN COUNTY SHERIFF'S OFFICE IS ACQUIRING A VEHICLE FOR SPECIAL RESPONSE UNITS TO BE UTILIZED IN SEARCH AND RESCUE OPERATIONS ACROSS OUR RURAL TERRAIN. THIS VEHICLE WILL AID IN THE RECOVERY AND TRANSPORTATION OF EQUIPMENT DURING THESE MISSIONS. ADDITIONALLY, IT WILL SERVE TO PROTECT OUR OPERATORS WHILE EXECUTING HIGH-RISK WARRANTS. I UNDERSTAND AND ACCEPT THE CONDITIONS OUTLINED IN SECTION F.</t>
  </si>
  <si>
    <t>2YTJL952340824</t>
  </si>
  <si>
    <t>Rejected by EAZ0039.  Comments: LEA has not submitted a governing body resolution for calendar year 2025 and therefore cannot be approved to obtain any program property by the NJ LESO..</t>
  </si>
  <si>
    <t>FOR USE BY THIS LEA ONLY. THIS LEA WILL USE THIS ITEM TO ASSIST WITH CRITICAL SEARCH AND RESCUE OPERATIONS FOR MISSING AND INJURED PERSONS.</t>
  </si>
  <si>
    <t>2YTLE252411251</t>
  </si>
  <si>
    <t>Rejected by EBF00042.</t>
  </si>
  <si>
    <t>2YTFKS52341260</t>
  </si>
  <si>
    <t>FOR SWAT TEAM USE.</t>
  </si>
  <si>
    <t>2YTKB552691431</t>
  </si>
  <si>
    <t>ROCHELLE POLICE DEPT (2YTKB5)</t>
  </si>
  <si>
    <t>Rejected by EJH2476.  Comments: REJECT JH PREV ALLOC.</t>
  </si>
  <si>
    <t>INTENDED USE FOR AIRCRAFT WILL BE TO ASSIST LAW ENFORCEMENT OPERATIONS AND PROVIDE MUTUAL AID ASSISTANCE WITHIN OUR JURISDICTION NEIGHBORING COUNTIES.</t>
  </si>
  <si>
    <t>2YTHMP52481487</t>
  </si>
  <si>
    <t>METRO NASHVILLE POLICE DEPARTMENT (2YTHMP)</t>
  </si>
  <si>
    <t>THS ASSET WOULD BENEFIT THIS AGENCY AND ITS OFFICERS BY ALLOWING THEM TO UTILIZE THIS AS A SECURE TRANSPORT AND STORAGE OF EQUIPMENT AND INVENTORY TO USE DURING SEVERE WEATHER INCIDENTS, MASS CASUALTY EVENTS, HUMANITARIAN AID DURING THOSE EVENTS, AS WELL AS A REST AND RECOVERY TRAILER DURING SUCH EVENTS. THIS WOULD ALLOW OFFICERS TO HAVE A SAFE AREA TO WORK AND REST DURING THESE EVENTS. WE WOULD ALSO BE ABLE TO UTILIZE THIS FOR LESO PICKUP AND TRANSPORT. WE WOULD REPAIR THIS VEHICLE ASAP</t>
  </si>
  <si>
    <t>2YTS0852481327</t>
  </si>
  <si>
    <t>Rejected by EAZ0039.  Comments: Item is an optic bearing condition code F G or H. LEA must contact the donating facility to ensure operability and to confirm it can utilize the item if received, and a statement must be added to the justification confirming these assertions..</t>
  </si>
  <si>
    <t>FOR THE USE BY THIS LAW ENFORCEMENT AGENCY, ORANGE POLICE DEPARTMENT ONLY. THE NIGHT VISION MONOCULAR WILL BE ASSIGNED TO SPECIAL RESPONSE TEAM OPERATORS FOR USE DURING NIGHT TIME OPERATIONS AND THE EXECUTION OF SEARCH WARRANTS.  IT ENHANCES SITUATIONAL AWARENESS BY PROVIDING VISUAL CAPABILITY IN LOW-LIGHT OR NO-LIGHT ENVIRONMENTS, ENABLING CONTROLLED AND DELIBERATE TACTICAL RESPONSES WHILE PROMOTING OFFICER SAFETY.</t>
  </si>
  <si>
    <t>2YT15D52411604</t>
  </si>
  <si>
    <t>Rejected by EDP0815.  Comments: In-sufficient justification..</t>
  </si>
  <si>
    <t>FOR THE USE BY THIS LAW ENFORCEMENT AGENCY, ORANGE POLICE DEPARTMENT ONLY. THE NIGHT VISION MONOCULAR WILL BE ASSIGNED TO SPECIAL RESPONSE TEAM OPERATORS FOR USE DURING NIGHT TIME OPERATIONS AND THE EXECUTION OF SEARCH WARRANTS. IT ENHANCES SITUATIONAL AWARENESS BY PROVIDING VISUAL CAPABILITY IN LOW-LIGHT OR NO-LIGHT ENVIRONMENTS, ENABLING CONTROLLED AND DELIBERATE TACTICAL RESPONSES WHILE PROMOTING OFFICER SAFETY.</t>
  </si>
  <si>
    <t>2YT15D52411628</t>
  </si>
  <si>
    <t>Rejected by EDM00149.</t>
  </si>
  <si>
    <t>OUR SWAT PARAMEDICS REQUIRE A ZOLL MONITOR TO PROVIDE ADVANCED CARDIAC MONITORING, DEFIBRILLATION, AND VITAL SIGN ASSESSMENT DURING HIGH-RISK OPERATIONS. AS AN ACTIVE LAW ENFORCEMENT AGENCY, WE FREQUENTLY TREAT CRITICAL PATIENTS IN TACTICAL ENVIRONMENTS, AND THE ZOLL WILL ENHANCE OUR CAPABILITY TO DELIVER RAPID, LIFE-SAVING CARE IN SUPPORT OF SWAT MISSIONS.</t>
  </si>
  <si>
    <t>2YT0RM52270282</t>
  </si>
  <si>
    <t>Rejected by ETD1004.  Comments: In State suspension currently in effect until written release from Program Manager earliest requisition date possible is 09.25.2025 if not extended..</t>
  </si>
  <si>
    <t>THE WHITE COUNTY SHERIFF'S OFFICE CAN UTILIZE THIS VEHICLE FOR UNDERCOVER OPERATIONS, SWAT VEHICLE, AND TRANSPORTING EQUIPMENT.</t>
  </si>
  <si>
    <t>2YTNMZ52481652</t>
  </si>
  <si>
    <t>WHITE COUNTY SHERIFF OFFICE (2YTNMZ)</t>
  </si>
  <si>
    <t>THE WHITE COUNTY SHERIFF'S OFFICE WILL UTILIZE THIS VEHICLE FOR MOBILE PATROLS, EVENTS, DISASTER RESPONSE AND RURAL SEARCH AND RESCUE OPERATIONS WHERE A FULL SIZE VEHICLE IS NOT FEASIBLE.</t>
  </si>
  <si>
    <t>2YTNMZ52481648</t>
  </si>
  <si>
    <t>THE WHITE COUNTY SHERIFF'S OFFICE CAN USE THIS TRUCK TO MOVE DIRT FOR THE DEPARTMENTS SHOOTING RANGE AND GRAVEL DRIVEWAY.</t>
  </si>
  <si>
    <t>2YTNMZ52481643</t>
  </si>
  <si>
    <t>WHITE COUNTY HAS NO COUNTY WIDE FIRE DEPT. RELYING ON VOLUNTEERS WITH DELAYED RESPONSE TIMES. WCSO DEPUTIES, OFTEN FIRST ON SCENE, ARE CROSSED TRAINED IN FIREFIGHTING. A FOUR WHEEL DRIVE SMALL FIRE TRUCK WOULD LET WCSO ACCESS RURAL AND WOODED AREAS, QUICKLY CONTAIN FIRES, PROTECT LIFE AND PROPERTY AND SUPPORT VOLUNTEERS UNTIL FUTURE UNITS ARRIVE.</t>
  </si>
  <si>
    <t>2YTNMZ52481642</t>
  </si>
  <si>
    <t>THE WHITE COUNTY SHERIFF'S OFFICE CAN UTILIZE THIS VEHICLE FOR CLEANING THE LARGE PARKING LOT.</t>
  </si>
  <si>
    <t>2YTNMZ52411653</t>
  </si>
  <si>
    <t>THE WHITE COUNTY SHERIFF'S SWAT TEAM CAN USE THESE FOR OPERATIONS AND CALL OUTS.</t>
  </si>
  <si>
    <t>2YTNMZ52411651</t>
  </si>
  <si>
    <t>2YTNMZ52411650</t>
  </si>
  <si>
    <t>THE WHITE COUNTY SHERIFF'S OFFICE CAN UTILIZE THIS MOWER FOR MOWING THE GRASS AT THE DEPARTMENT.</t>
  </si>
  <si>
    <t>2YTNMZ52411649</t>
  </si>
  <si>
    <t>Rejected by EAZ0039.  Comments: Duplicate request..</t>
  </si>
  <si>
    <t>2YTLE252411632</t>
  </si>
  <si>
    <t>Rejected by EDB2550.</t>
  </si>
  <si>
    <t>IT WOULD BE USED TO ACCESS REMOTE AREAS THAT PATROL VEHICLES CANNOT REACH, SUPPORTING SEARCH AND RESCUE OPERATIONS IN OUR WOODED RIVER LANDS, AND ASSIST WITH DISASTER RELIEF BY TRANSPORTING FIRST RESPONDERS FOR MEDICAL EMERGENCIES AND DEBRIS REMOVAL.</t>
  </si>
  <si>
    <t>2YTMY852390632</t>
  </si>
  <si>
    <t>THE BRUNSWICK COUNTY SHERIFF'S OFFICE NEEDS THIS REQUISITIONING EQUIPMENT FOR  COUNTER-DRUG-COUNTER-TERRORISM.</t>
  </si>
  <si>
    <t>2YTBMJ52481715</t>
  </si>
  <si>
    <t>2YTJL952481724</t>
  </si>
  <si>
    <t>THE NON-LETHAL WEAPON WILL BE RECEIVED BY THE MCCORMICK POLICE DEPARTMENT AND ISSUED TO PATROL OFFICERS</t>
  </si>
  <si>
    <t>2YTHGK52481668</t>
  </si>
  <si>
    <t>MCCORMICK POLICE DEPT (2YTHGK)</t>
  </si>
  <si>
    <t>Rejected by ETD1004.  Comments: F condition contact the fort and change justification to indicate so.</t>
  </si>
  <si>
    <t>THE BRISTOL TENNESSEE POLICE DEPARTMENT WOULD UTILIZE THIS TRUCK FOR OUR EVIDENCE TECHNICIAN TO TRANSPORT EVIDENCE TO THE CRIME LAB THAT PERTAINS TO CRIMINAL CASES AND VIOLENT CRIME.</t>
  </si>
  <si>
    <t>2YTBJQ52551768</t>
  </si>
  <si>
    <t>Rejected by ETD1004.  Comments: approved for an earlier requisitioner..</t>
  </si>
  <si>
    <t>THE BRISTOL TENNESSEE POLICE DEPARTMENT WOULD USE THIS TRUCK TO ASSIST IN PICKING UP PROPERTY AND ITEMS AWARDED FROM THE RTD SITE TO AIDE OUR AGENCY.</t>
  </si>
  <si>
    <t>2YTBJQ52551765</t>
  </si>
  <si>
    <t>Rejected by ECG1611.  Comments: PIck up not available due to earlier agency request.</t>
  </si>
  <si>
    <t>2YTM9Q52551834</t>
  </si>
  <si>
    <t>Rejected by ETD1004.  Comments: F condition contact the fort to ascettin issues and indicate on resubmitted justification.</t>
  </si>
  <si>
    <t>THIS VEHICLE IS NEEDED TO HELP AID WITH ANY NATURAL DISASTERS AND RESCUES THE POLICE DEPARTMENT IS INVOLVED WITH. THE TELLICO PLAINS POLICE DEPARTMENT ASSUMES ALL COST AND EXPENSES.</t>
  </si>
  <si>
    <t>2YTLRG52551832</t>
  </si>
  <si>
    <t>Rejected by ETD1004.  Comments: F condition contact the fort as to issues and indicate in justification.</t>
  </si>
  <si>
    <t>THIS VEHICLE IS NEEDED TO ASSIST WITH COMBATTING THE WAR ON DRUGS AND TO HELP AROUND THE FIRING RANGE. TELLICO PLAINS POLICE DEPT WILL ASSUME ALL COSTS AND EXPENSES.</t>
  </si>
  <si>
    <t>2YTLRG52551831</t>
  </si>
  <si>
    <t>REQUESTED BY NORTH MYRTLE BEACH POLICE DEPARTMENT TO BE USED BY NMB POLICE OFFICERS DURING HURRICANES, LARGE SCALE EVENTS AND OTHER NATURAL DISASTERS.</t>
  </si>
  <si>
    <t>2YT1PG52551884</t>
  </si>
  <si>
    <t>Rejected by EDP0815.  Comments: This item is not a traditional piece of equipment for law enforcement. This item type is not routinely used by police officers and or civilian personnel of an LEA to execute their law enforcement duties. .</t>
  </si>
  <si>
    <t>FOR USE BY THIS LEA ONLY. TO BE USED BY THE LEOS OF THIS AGENCY. THIS SNOWPLOW WILL BE UTILIZED FOR POLICE USE DURING EMERGENCY OPERATIONS TO ENSURE ACCESS TO CRITICAL LOCATIONS AND MAINTAIN PUBLIC SAFETY.</t>
  </si>
  <si>
    <t>SNOWPLOW,TRUCK MOUN</t>
  </si>
  <si>
    <t>2YTEY452481840</t>
  </si>
  <si>
    <t>Rejected by ELG00055.  Comments: 4 agencies in the state have not finished inventory. .</t>
  </si>
  <si>
    <t>IF ACQUIRED THESE UNITS WOULD BE ISSUED TO TACTICAL OFFICERS WITH THE OCEANA COUNTY SHERIFF'S OFFICE SWAT TEAM FOR USE DURING NIGHT OPERATIONS PROVIDING OFFICERS WITH A CRITICAL ADVANTAGE DURING SUSPECT APPREHENSION. THE CONDITION OF THESE UNITS, AND VERIFICATION OF LENSES BEING INTACT, WERE VERIFIED WITH DLA SUSQUEHANNA.</t>
  </si>
  <si>
    <t>2YT1XS52552008</t>
  </si>
  <si>
    <t>Rejected by EDP0815.  Comments: Insufficient justification..</t>
  </si>
  <si>
    <t>THE LEA WILL UTILIZE THE REQUESTED IMAGE INTENSIFIER, NIGHT VISION TO ENHANCE OUR DEPARTMENTS ABILITY TO CONDUCT SAFE AND EFFECTIVE OPERATIONS DURING NIGHTTIME AND LOW LIGHT CONDITIONS. THE ITEM REQUESTED WILL SPECIFICALLY BE USED BY MEMBERS OF THIS LEA, TACTICAL TEAMS AND SEARCH AND RESCUE PERSONNEL TO IMPROVE VISIBILITY WITHOUT RELIANCE ON ARTIFICIAL LIGHTING, REDUCING THE RISK OF OFFICER INJURY.</t>
  </si>
  <si>
    <t>2YTQUN52552009</t>
  </si>
  <si>
    <t>Rejected by ELG00055.  Comments: State is not complete with the inventory.</t>
  </si>
  <si>
    <t>IF ACQUIRED, THESE UNITS WILL BE USED FOR SEARCH AND RESCUE IN NIGHT TIME OPERATIONS FOR THE MASON COUNTY SHERIFF'S OFFICE AND OTHER NIGHT TIME OPERATIONS FOR SAFETY. ITEMS CONDITIONS HAVE BEEN CONFIRMED WITH DLA SUSQUEHANNA AND LENSES ARE INTACT.</t>
  </si>
  <si>
    <t>2YTHD952551970</t>
  </si>
  <si>
    <t>Rejected by EJC2716.  Comments: Justification.</t>
  </si>
  <si>
    <t>FOR USE BY LEXINGTON COUNTY SHERIFF'S DEPT. NARCOTICS, K9, SWAT PERSONNEL, DURING THE COURSE OF DUTY FOR ALL LAWFUL PURPOSES.</t>
  </si>
  <si>
    <t>2YTGPS52551944</t>
  </si>
  <si>
    <t>LEXINGTON COUNTY SHERIFF DEPT (2YTGPS)</t>
  </si>
  <si>
    <t>Rejected by EDP0815.  Comments: LEA approved for a quantity of 12 of this same DTID reference NJ 1033 LESO approved requisition number 2YTKFS52552028..</t>
  </si>
  <si>
    <t>FOR USE BY THIS LEA ONLY. THE FOLLOWING ELECTRONIC EQUIPMENT REQUEST IS TO SUPPORT THE ROSELLE POLICE DEPARTMENT SPECIAL SERVICES AND ADMINISTRATIVE BUREAUS LOCATED IN THREE OFFICES SPACES. THIS EQUIPMENT IN IMPROVING THE CURRENT WORKSPACE CONDITION WITHIN IN THE RECORDS, TRAFFIC SAFETY, RECORDS, AND COMMUNITY POLICING BUREAUS.</t>
  </si>
  <si>
    <t>2YTKFS52552040</t>
  </si>
  <si>
    <t>FOR USE BY THIS LEA ONLY. THE FOLLOWING ELECTRONIC EQUIPMENT REQUEST SUPPORTS THE ROSELLE POLICE DEPARTMENT SPECIAL SERVICES AND ADMINISTRATIVE BUREAUS LOCATED IN THREE OFFICES SPACES. REQUIREMENTS OF 10 MONITORS WILL IMPROVE 5 WORK STATIONS WITH DUAL SCREEN CAPABILITY TO IMPROVE WORK FLOW AND EFFICIENCY.</t>
  </si>
  <si>
    <t>2YTKFS52552038</t>
  </si>
  <si>
    <t>Rejected by ELG00055.  Comments: 4 agencies have not finished their inventory .</t>
  </si>
  <si>
    <t>THE OAKLAND COUNTY SHERIFFS OFFICE REQUESTS NIGHT VISION GOGGLES TO SUPPORT SAFE OPERATIONS IN LOW-LIGHT ENVIRONMENTS. OUR UNIT CURRENTLY HAS NO NIGHT VISION CAPABILITY. GOGGLES ARE ESSENTIAL FOR TACTICAL MOVEMENT, PERIMETER SECURITY, AND DRONE OPERATIONS AT NIGHT, ESPECIALLY IN URBAN AREAS THAT ARE OFTEN POORLY LIT. THIS EQUIPMENT WILL ENHANCE AWARENESS, SAFETY, AND MISSION EFFECTIVENESS.</t>
  </si>
  <si>
    <t>2YT1WK52552071</t>
  </si>
  <si>
    <t>Rejected by EJC2716.  Comments: DTID reflects previously turned in by another LEA.</t>
  </si>
  <si>
    <t>COMPUTERS REQUESTED BY HAMPTON COUNTY SHERIFF'S OFFICE, FOR USE BY HAMPTON COUNTY SHERIFF'S DEPUTIES, FOR USE IN ADMINISTRATION FUNCTION OF THE SHERIFF'S DEPARTMENT.</t>
  </si>
  <si>
    <t>2YTE2052481984</t>
  </si>
  <si>
    <t>Rejected by EDP0815.  Comments: DLA is not issuing this item type to LEAs unless the DEMIL code and the condition code are both A. The DEMIL code of this item is A and the condition code is A..</t>
  </si>
  <si>
    <t>FOR USE BY THIS LEA ONLY. TO BE USED BY THE LEOS OF THIS AGENCY. THIS TABLET WILL BE UTILIZED TO SUPPORT LAW ENFORCEMENT OPERATIONS, INCLUDING FIELD REPORTING, DATA ACCESS, AND CRITICAL INCIDENT MANAGEMENT.</t>
  </si>
  <si>
    <t>2YTEY452552076</t>
  </si>
  <si>
    <t>FOR USE BY THIS LEA ONLY. THE FOLLOWING COMMERCIAL GRADE CLEANING EQUIPMENT WILL SUPPORT THE ROSELLE POLICE DEPARTMENT SPECIAL SERVICES AND ADMINISTRATIVE SERVICES BUREAU OCCUPYING THREE OFFICE SPACES WITH APPROX 450SQ FT OF COMMERCIAL GRADE CARPETING. THE SECOND VACUUM IS TERTIARY FOR REPLACEMENT AND PARTS IF IN THE EVENT REPAIR IS NEEDED.</t>
  </si>
  <si>
    <t>2YTKFS52552118</t>
  </si>
  <si>
    <t>Rejected by ELG00055.  Comments: There are 4 agencies that have not finished their inventory.</t>
  </si>
  <si>
    <t>THESE KITS WOULD BE USED TO CONVERT CURRENT DUTY ISSUED PISTOLS TO FIRE SIMUNITION AND OR MARKING ROUNDS FOR REALISTIC FORCE ON FORCE TRAINING REQUIRED BY THE STATE OF MICHIGAN IN ORDER TO EXECUTE OUR OFFICIAL DUTIES.</t>
  </si>
  <si>
    <t>2YT00E52552101</t>
  </si>
  <si>
    <t>OXFORD POLICE DEPT (2YT00E)</t>
  </si>
  <si>
    <t>THESE TRAINING RIFLES WOULD BE USED TO ASSIST IN ONGOING IN-SERVICE TRAINING REQUIRED FOR OUR OFFICERS IN THE EXECUTION OF THEIR OFFICIAL DUTIES.</t>
  </si>
  <si>
    <t>2YT00E52482100</t>
  </si>
  <si>
    <t>THIS WILL BE USED FOR REQUIRED MAINTENANCE AND REPAIR TO DUTY ISSUED FIREARMS NECESSARY FOR THE PERFORMANCE OF POLICE PATROL OFFICERS OFFICIAL DUTIES.</t>
  </si>
  <si>
    <t>2YT00E52482097</t>
  </si>
  <si>
    <t>USED, IN COMBINATION WITH THE OTHER INCOMPLETE TOOL KIT, TO MAINTAIN AND REPAIR DUTY FIREARMS REQUIRED FOR PERFORMANCE OF OFFICIAL DUTIES.</t>
  </si>
  <si>
    <t>2YT00E52482095</t>
  </si>
  <si>
    <t>NEEDED FOR MAINTENANCE AND REPAIRS NECESSARY TO CURRENT DUTY RIFLES FOR USE IN COURSE OF PATROL</t>
  </si>
  <si>
    <t>BOLT,BREECH</t>
  </si>
  <si>
    <t>2YT00E52482091</t>
  </si>
  <si>
    <t>FOR REPAIR OF A CURRENT ISSUED M16 RIFLE NEEDED TO PERFORM DUTIES AS A LAW ENFORCEMENT OFFICER.</t>
  </si>
  <si>
    <t>CARRIER ASSEMBLY,KE</t>
  </si>
  <si>
    <t>2YT00E52482089</t>
  </si>
  <si>
    <t>THE LEA WILL UTILIZE THE REQUESTED IMAGE INTENSIFIER, NIGHT VISION TO ENHANCE OUR DEPARTMENTS ABILITY TO CONDUCT SAFE AND EFFECTIVE OPERATIONS DURING NIGHTTIME AND LOW LIGHT CONDITIONS. THE ITEM REQUESTED WILL SPECIFICALLY BE USED BY MEMBERS OF THIS LEA, TACTICAL TEAMS AND SEARCH AND RESCUE PERSONNEL TO IMPROVE VISIBILITY WITHOUT RELIANCE ON ARTIFICIAL LIGHTING, REDUCING THE RISK OF OFFICER INJURY, LOCATING MISSING PERSONS, TRACKING SUSPECTS AND BY IMPROVING SITUATIONAL AWARENESS.</t>
  </si>
  <si>
    <t>2YTQUN52552096</t>
  </si>
  <si>
    <t>PICKEN COUNTY SHERIFF'S OFFICE IS ACQUIRING A VEHICLE FOR SPECIAL RESPONSE UNITS TO BE UTILIZED IN SEARCH AND RESCUE OPERATIONS ACROSS OUR RURAL TERRAIN. THIS VEHICLE WILL AID IN THE RECOVERY AND TRANSPORTATION OF EQUIPMENT DURING THESE MISSIONS. ADDITIONALLY, IT WILL SERVE TO PROTECT OUR OPERATORS DURING THEIR OPERATIONS. I UNDERSTAND AND ACCEPT THE CONDITIONS OUTLINED IN SECTION H.</t>
  </si>
  <si>
    <t>2YTJL952481620</t>
  </si>
  <si>
    <t>Rejected by EBK0629.  Comments: SPOC is rejecting due to LEA not noting the DS site having been contacted to confirm functionality.</t>
  </si>
  <si>
    <t>NORWALK POLICE DEPARTMENT WOULD USE THIS EQUIPMENT TO ASSIST IN FIREARM TRAINING DURING RANGE DAY ASSIGNED TO EACH OFFICER.</t>
  </si>
  <si>
    <t>2YTQZD52482167</t>
  </si>
  <si>
    <t>VIRGINIA STATE POLICE IS A STATE LAW ENFORCEMENT AGENCY. THIS EQUIPMENT WILL ASSIST WITH UNDERCOVER OPERATIONS WITH NARCOTICS AND OTHER FORMS OF ILLEGAL CRIME ALL WHILE ALLOWING OUR SWORN TO REMAIN UNDERCOVER AND BLEND IN, THIS EQUIPMENT WILL BE USED BY SWORN OFFICERS.</t>
  </si>
  <si>
    <t>2YTMXW52552240</t>
  </si>
  <si>
    <t>VIRGINIA STATE POLICE IS A STATE LAW ENFORCEMENT AGENCY AND WILL USE THIS PROPERTY TO ASSIST WITH DRUG INTERDICTION, CRIMES RELATED TO DRUGS WHILE OUR SWORN CAN REMAIN UNDER-COVER IN USING THIS VEHICLE.</t>
  </si>
  <si>
    <t>2YTMXW52552239</t>
  </si>
  <si>
    <t>VIRGINIA STATE POLICE IS A STATE LAW ENFORCEMENT AGENCY. THIS VEHICLE WILL PROVE USEFUL FOR OUR SWORN UNDERCOVER TO OPERATE IN AN ENVIRONMENT THAT WILL NOT CAUSE SUSPICION WITH UNDERCOVER ACTIVITY.</t>
  </si>
  <si>
    <t>2YTMXW52552238</t>
  </si>
  <si>
    <t>VIRGINIA STATE POLICE IS A STATE LAW ENFORCEMENT AGENCY THAT COULD UTILIZE THIS PROPERTY FOR LAW ENFORCEMENT PURPOSES IN AN UNDERCOVER OPERATION AND OR SURVEILLANCE. THIS PROPERTY WILL BE USED BY SWORN OFFICERS ONLY.</t>
  </si>
  <si>
    <t>2YTMXW52622316</t>
  </si>
  <si>
    <t>VIRGINIA STATE POLICE IS A STATE LAW ENFORCEMENT AGENCY. THIS VAN WILL BE ESSENTIAL TO THE AGENCY FOR UNDERCOVER OPERATIONS TO AID IN ALL CRIME AND ESPECIALLY DRUG DIVERSION IN THE STATE AND WILL BE USED BY SWORN OFFICERS OF THE AGENCY.</t>
  </si>
  <si>
    <t>2YTMXW52622285</t>
  </si>
  <si>
    <t>Rejected by EJH2476.  Comments: REJECT JH GSA CYCLE.</t>
  </si>
  <si>
    <t>WE WOULD LIKE THE ALTERNATOR GENERATOR MOTOR TO REPAIR EXISTING GENERATORS. WE HAVE MULTIPLE GENERATORS THAT WE USE FOR EMERGENCY SITUATIONS AND THE MOTOR WOULD HELP US BE PREPARED FOR FUTURE BREAK DOWNS. THE MOTOR WILL BE USED SOLELY BY OUR DEPARTMENT</t>
  </si>
  <si>
    <t>GENERATOR,ALTERNATI</t>
  </si>
  <si>
    <t>2YTHQ052482244</t>
  </si>
  <si>
    <t>PICKENS COUNTY SHERIFF'S OFFICE IS ACQUIRING A VEHICLE FOR SPECIAL RESPONSE UNITS TO BE UTILIZED IN SEARCH AND RESCUE OPERATIONS ACROSS OUR RURAL TERRAIN. THIS VEHICLE WILL AID IN THE RECOVERY AND TRANSPORTATION OF EQUIPMENT DURING THESE MISSIONS. I UNDERSTAND AND ACCEPT THE CONDITIONS OUTLINED IN SECTION H.</t>
  </si>
  <si>
    <t>2YTJL952622358</t>
  </si>
  <si>
    <t>Rejected by EJF1875.</t>
  </si>
  <si>
    <t>THIS EQUIPMENT WOULD ALLOW OUR SMALL DEPARTMENT TO SELF BUILD A PRACTICE FIRING RANGE. WE WOULD ALSO BE ABLE TO US THIS EQUIPMENT TO AID IN CLEANUPS AFTER TORNADOS AND OTHER NATURAL DISASTERS.</t>
  </si>
  <si>
    <t>2YTD1D52481614</t>
  </si>
  <si>
    <t>THIS DUMP TRUCK WOULD BE VITAL IN SUPPORTING OUR EFFORTS TO SERVE THE COMMUITTY. WE WOULD BE ABLE TO UTILIZE THIS EQUIPMENT TO CLEAR DEBRIS AND ASSIST IN RESCUE EFFORTS AFTER A DISASTER OR EMERGENCY.</t>
  </si>
  <si>
    <t>2YTD1D52481962</t>
  </si>
  <si>
    <t>Rejected by EJC2716.  Comments: previously turned in, no acknowledgement.</t>
  </si>
  <si>
    <t>REQUESTED BY SCDPS TO BE USED BY SCDPS LAW ENFORCEMENT OFFICERS ASSIGNED TO THE SPECIAL OPERATIONS UNIT AS A SIGHT MAGNIFIER.</t>
  </si>
  <si>
    <t>2YTKTF52552457</t>
  </si>
  <si>
    <t>Rejected by EDP0815.  Comments: These optics have a DTID that begin with the number and letters 2YT which indicates that these optics were returned to DLA by a LEA. NJ 1033 Program LESO is not approving 2YT items for LEAs in the State of New Jersey since the actual condition of the items cannot be physically and visually verified by the requestor in person at the time of the requisition submission..</t>
  </si>
  <si>
    <t>FOR THIS LEA ONLY. THE NORTH BERGEN POLICE DEPARTMENT IS REQUESTING THESE OPTICS FOR OUR PATROL RIFLE OPERATORS. THANK YOU FOR YOUR CONSIDERATION.</t>
  </si>
  <si>
    <t>2YT1NW52552492</t>
  </si>
  <si>
    <t>2YTNUS52552211</t>
  </si>
  <si>
    <t>Rejected by ECG1611.  Comments: Please contact the site and verify the condition of property per LESO.  The following statement must be included in the justification once it is resubmitted.   Chase City PD contacted the site and will accept the condition of the property..</t>
  </si>
  <si>
    <t>WE ARE A SMALL LOCAL LAW ENFORCEMENT AGENCY AND WOULD UTILIZE THESE ITEMS ON OUR PATROL RIFLES TO AID OFFICERS. THESE ITEMS WOULD ONLY BE USED BY SWORN LAW ENFORCEMENT PERSONNEL.</t>
  </si>
  <si>
    <t>2YTPML52552504</t>
  </si>
  <si>
    <t>THIS SCOOTER IS REQUESTED BY HOLLY HILL POLICE DEPARTMENT FOR USE BY HOLLY HILL PD OFFICERS TO PATROL THE DOWNTOWN AREA WHICH CONVENTIONAL PATROL CARS WILL NOT FIT.</t>
  </si>
  <si>
    <t>2YTRSD52551857</t>
  </si>
  <si>
    <t>Rejected by EDP0815.  Comments: LEA is not authorized to obtain this item type by their civilian governing (CGB) via a 1033 Program Resolution for calendar year 2025 which must be passed by the LEA's CGB. This requirement is State law in New Jersey. The NJ 1033 Program LESO must have a copy of the resolution on file for the LEA..</t>
  </si>
  <si>
    <t>FOR USE BY THIS LEA ONLY. TO BE USED BY LEOS OF THIS AGENCY FOR STORAGE AND TRANSPORTATION OF MISSION ESSENTIAL TOOLS DURING LAW ENFORCEMENT OPERATIONS.</t>
  </si>
  <si>
    <t>2YTQU952552630</t>
  </si>
  <si>
    <t>RIDGEFIELD PARK POLICE DEPARTMENT (2YTQU9)</t>
  </si>
  <si>
    <t>2YTQU952552629</t>
  </si>
  <si>
    <t>Rejected by EOL0097.  Comments: Must be in DOD cycle.</t>
  </si>
  <si>
    <t>THESE WOULD BENEFIT THE COCHRAN POLICE DEPARTMENT IN HIGH RISK WARRANT SERVICE, ACTIVE SHOOTER RESPONSE, BARRICADED SUBJECTS, OR TRAINING OF OFFICERS.</t>
  </si>
  <si>
    <t>FLASH BANG GRENADE</t>
  </si>
  <si>
    <t>2YTCL752552718</t>
  </si>
  <si>
    <t>THIS ITEM WOULD BENEFIT THE COCHRAN POLICE DEPARTMENT AS WE WOULD USE IT TO HOLD STOP THE BLEED AND OTHER TRAUMA SUPPLIES FOR AN ACTIVE SHOOTER RESPONSE EVENT.</t>
  </si>
  <si>
    <t>2YTCL752552714</t>
  </si>
  <si>
    <t>RCSO NEEDS THIS EQUIPMENT TO SUPPORT OUR SRT FOUR MAN SNIPER SQUAD.  THE EQUIPMENT'S MULTI-ROLE OPTIC IS IDEAL FOR OUR UNIT'S DUAL ROLES FOR OFFICERS FOR BOTH CLOSE QUARTERS AND LONG RANGE.</t>
  </si>
  <si>
    <t>2YTJ7852692959</t>
  </si>
  <si>
    <t>2YTJ7852692956</t>
  </si>
  <si>
    <t>2YTJ7852692955</t>
  </si>
  <si>
    <t>2YTJ7852692954</t>
  </si>
  <si>
    <t>THE MADISONVILLE POLICE DEPARTMENT IS REQUESTING THIS TRUCK FOR USE BY OUR OFFICERS. THIS TRUCK WOULD BE USED UNDERCOVER BY DETECTIVE FOR SURVEILLANCE, DRUG BUYS, AND AGGRESSIVE TRAFFIC ENFORCEMENT. DUE TO BUDGET CONSTRAINTS WE ARE CURRENTLY UNABLE TO PURCHASE MUCH NEEDED EQUIPMENT LIKE THIS TRUCK.</t>
  </si>
  <si>
    <t>2YTG5752692957</t>
  </si>
  <si>
    <t>Rejected by ETD1004.  Comments: approved for an earlier requisitioning agency.</t>
  </si>
  <si>
    <t>THE MADISONVILLE POLICE DEPARTMENT IS REQUESTING THIS TRUCK FOR USE BY OUR DEPARTMENT. THIS TRUCK WOULD BE USED TO SUPPORT HAZMAT OPERATIONS DURING DRUG LAB RAIDS, LARGE VEHICLE ACCIDENTS, AND FENTANYL DECON. DUE TO BUDGET CONSTRAINTS WE ARE CURRENTLY UNABLE TO PURCHASE MUCH NEEDED EQUIPMENT LIKE THIS TRUCK.</t>
  </si>
  <si>
    <t>2YTG5752692953</t>
  </si>
  <si>
    <t>Rejected by ECH00100.  Comments: not issuable-CH.</t>
  </si>
  <si>
    <t>TO BE UTILIZED BY THE LAKEVILLE POLICE DEPARTMENT AND ISSUED TO OFFICERS FOR POLICE PATROL DUTIES AND CRIMINAL INVESTIGATIONS IN COLD WEATHER.</t>
  </si>
  <si>
    <t>2YTGG752693112</t>
  </si>
  <si>
    <t>TO BE UTILIZED BY THE LAKEVILLE POLICE DEPARTMENT AND ISSUED TO OFFICERS FOR POLICE PATROL DUTIES AND CRIMINAL INVESTIGATIONS.</t>
  </si>
  <si>
    <t>2YTGG752693111</t>
  </si>
  <si>
    <t>2YTGG752693110</t>
  </si>
  <si>
    <t>2YTGG752693109</t>
  </si>
  <si>
    <t>Rejected by EAZ0039.  Comments: Allocated to another NJ LEA.</t>
  </si>
  <si>
    <t>FOR USE BY THIS LEA ONLY. TO BE USED BY THE LEOS OF THIS AGENCY. THIS PICKUP TRUCK WILL BE UTILIZED FOR LAW ENFORCEMENT OPERATIONS, TRANSPORT OF EQUIPMENT, PERSONNEL MOVEMENT, AND RESPONSE TO CRITICAL INCIDENTS AND EMERGENCIES.</t>
  </si>
  <si>
    <t>2YTEY452693114</t>
  </si>
  <si>
    <t>Rejected by ETD1004.  Comments: APPROVED EARLIER FOR ANOTHER AGENCY.</t>
  </si>
  <si>
    <t>THIS ITEM WILL ONLY BE USED BY THE GLEASON POLICE DEPARTMENT. THIS ITEM WILL BE USED DURING TIMES NATURAL DISASTERS. THIS ITEM WILL BE USED TO CLEAN UP DEBRIS DURING NATURAL DISASTERS. THIS ITEM WILL BE USED TO HELP IN EFFORTS TO HELP LOCATE AND RESCUE PEOPLE IN TIMES OF NATURAL DISASTERS.</t>
  </si>
  <si>
    <t>2YTEMC52693090</t>
  </si>
  <si>
    <t>Rejected by ETD1004.  Comments: approve for an earlier requisitioner.</t>
  </si>
  <si>
    <t>THE BRISTOL POLICE DEPARTMENT WOULD UTILIZE THIS TRUCK FOR EITHER A SCHOOL RESOURCE VEHICLE OR FOR OUR EVIDENCE TECHNICIAN TO TRANSPORT EVIDENCE TO THE CRIME LAB AND RESPOND TO CRIME SCENES FOR EVIDENCE PROCESSING. THE BASE STATES THIS TRUCK IS OPERATIONAL.</t>
  </si>
  <si>
    <t>2YTBJQ52693075</t>
  </si>
  <si>
    <t>POLICE DEPARTMENT PERSONNEL WOULD OPERATE THIS TRUCK WITH A TRAILER TO PICK-UP AWARDED PROPERTY FROM THE RTD SITE.</t>
  </si>
  <si>
    <t>2YTBJQ52692892</t>
  </si>
  <si>
    <t>THE BRISTOL TENNESSEE POLICE DEPARTMENT WOULD USE THIS BUCKET TRUCK TO ACCESS POLICE CAMERAS, TO DEPLOY OR FIX ISSUES FOR ASSISTING IN SOLVING CRIMES. THE BASE STATES THE TRUCK RUNS AND IS OPERATIONAL.</t>
  </si>
  <si>
    <t>2YTBJQ52692887</t>
  </si>
  <si>
    <t>Rejected by ETD1004.  Comments: already approved for an earlier agency..</t>
  </si>
  <si>
    <t>THE BRISTOL TENNESSEE POLICE DEPARTMENT WOULD USE THIS BUCKET TRUCK TO ACCESS POLICE CAMERAS, TO DEPLOY OR FIX ISSUES FOR ASSISTING IN SOLVING CRIMES.</t>
  </si>
  <si>
    <t>2YTBJQ52692885</t>
  </si>
  <si>
    <t>THIS ASSET WOULD BENEFIT OUR AGENCY AND OFFICERS BY ALLOWING US TO UTILIZE THIS AS A PATROL VEHICLE FOR OUR OFFICERS TO RESPOND TO CALLS OF SERVICE AND EMERGENCIES. WE WOULD REPAIR THIS ASSET AS NEEDED TO MAKE IT OPERATIONAL FOR PATROL USE.</t>
  </si>
  <si>
    <t>2YTS0852693122</t>
  </si>
  <si>
    <t>Rejected by EBP1178.  Comments: Check justification DLA will reject first word should say Sardinia.</t>
  </si>
  <si>
    <t>DINIA POLICE DEPARTMENT IS REQUESTING RESOURCES THAT CAN BE ISSUED TO POLICE OFFICERS FOR THEIR ASSIGNED PATROL DUTY WEAPON SYSTEM. WITH LIMITED AND NO ADDITIONAL FUNDING RESOURCES FOR ITEMS, RECEIPT OF THE REQUESTED ITEM WOULD ASSIST, SUSTAIN, AND REDUCE THE COST FOR SARDINIA POLICE DEPARTMENT TO OUTFIT POLICE OFFICERS ASSIGNED PATROL DUTY WEAPON SYSTEM WITH OPTICS TO PROTECT AND SERVE. SITE WAS CONTACTED WILL CONFIRM AND ACCEPT CONDITION OF DEVICES AND OR OPTICS.</t>
  </si>
  <si>
    <t>2YTKSE52693159</t>
  </si>
  <si>
    <t>2YTKSE52693158</t>
  </si>
  <si>
    <t>2YTKSE52693157</t>
  </si>
  <si>
    <t>2YTKSE52693156</t>
  </si>
  <si>
    <t>2YTKSE52693155</t>
  </si>
  <si>
    <t>2YTKSE52693154</t>
  </si>
  <si>
    <t>Rejected by ETD1004.  Comments: already approved for an earlier requisitioner..</t>
  </si>
  <si>
    <t>THE VONORE POLICE DEPARTMENT WOULD UTILIZE THIS TRUCK TO TRANSPORT EQUIPMENT TO CRIME SCENES. THIS TRUCK WOULD ALSO BE USED TO TRANSPORT TRAINING EQUIPMENT TO TRAINING SITES. TRUCK WILL BE ACCEPTED AS IN CONDITION.</t>
  </si>
  <si>
    <t>2YTM3P52693240</t>
  </si>
  <si>
    <t>THE VONORE POLICE DEPARTMENT WOULD UTILIZE THIS ITEM DURING THE EVIDENCE DESTRUCTION PROCESS. THE DEPARTMENT WOULD ALSO USE THIS ITEM FOR THE MAINTENANCE OF OUR IMPOUND LOT. THE DEPARTMENT WOULD ACCEPT THIS ITEM AS IS CONDITION.</t>
  </si>
  <si>
    <t>2YTM3P52693191</t>
  </si>
  <si>
    <t>THE VONORE POLICE DEPARTMENT WOULD UTILIZE THIS ITEM DURING THE EVIDENCE DESTRUCTION PROCESS. THE DEPARTMENT WOULD ALSO USE THIS ITEM FOR THE MAINTENANCE OF OUR IMPOUND LOT. THE DEPARTMENT WILL ACCEPT THIS ITEM IN AS IS CONDITION.</t>
  </si>
  <si>
    <t>2YTM3P52693188</t>
  </si>
  <si>
    <t>THE MOSHEIM POLICE DEPARTMENT WILL USE THIS AS A SCENE COMMAND VEHICLE WHICH WILL HAVE CRIME SCENE INVESTIGATION EQUIPMENT.</t>
  </si>
  <si>
    <t>2YTRJT52623305</t>
  </si>
  <si>
    <t>MOSHEIM PD (2YTRJT)</t>
  </si>
  <si>
    <t>Rejected by ETD1004.  Comments: justification includes use as a fire truck.</t>
  </si>
  <si>
    <t>TRUCK WILL BE USED BY THE GREENE COUNTY SHERIFFS OFFICE ARSON INVESTIGATION TEAM. THIS WILL ALLOW THE TEAM TO USE THIS TRUCK WHEN THEY GO BACK TO INVESTIGATE A FIRE WITHOUT THEM HAVING TO TIE UP A VOLUNTEER FIRE DEPARTMENT. WITH THIS TRUCK THEY CAN PUT OUT HOT SPOTS AND SIFT AROUND IN THE DEBRIS WHICH CAN BE TIME CONSUMING.. DECALS AND NAME WILL BE REMOVED AND SHERIFFS OFFICE DECALS ADDED.</t>
  </si>
  <si>
    <t>2YTET652692907</t>
  </si>
  <si>
    <t>THIS ITEM WILL BE USED BY OUR DEPARTMENT AT OUR TRAINING FACILITY. IT WILL BE USED TO ASSIST US IN INSTALLING OF LIGHTS FOR OUR FIRING RANGE AS WELL AS OTHER NEEDS AT OUR TRAINING SITE.</t>
  </si>
  <si>
    <t>2YTLN252693341</t>
  </si>
  <si>
    <t>SWEETWATER POLICE DEPT (2YTLN2)</t>
  </si>
  <si>
    <t>Rejected by EJR01036.  Comments: LESO shows you have one closed and one assigned trailer already.  In order to receive more trailers, redo your justification adding the status of your two showing in FEPMIS and resubmit IAW LESO Policy..</t>
  </si>
  <si>
    <t>TROUP PD WOULD LIKE TO ACQUIRE THIS ITEM FOR THE USE OF TRANSPORTING SEIZED PROPERTY FROM FELONY ARRESTS, POLICE EQUIPMENT AND OTHER VARIOUS ITEMS TO AND FROM THE TROUP PD TRAINING FACILITY.</t>
  </si>
  <si>
    <t>2YTLY352693413</t>
  </si>
  <si>
    <t>Rejected by EDP0815.  Comments: LEA is not authorized to obtain this item type by their civilian governing (CGB) via a 1033 Program Resolution for calendar year 2025 which must be passed by the LEA's CGB. This requirement is State law in New Jersey. The NJ 1033 Program LESO must have a copy on file for the LEA..</t>
  </si>
  <si>
    <t>BERLIN TOWNSHIP POLICE DEPARTMENT WILL UTILIZE THIS ITEM FOR RESCUE OPERATIONS AND TACTICAL SITUATIONS INVOLVING LOW LIGHT OR NIGHTTIME. AFTER CONTACTING THE BASE I AM SATISFIED THAT THESE ITEMS ARE USABLE OR CAN MADE USABLE.</t>
  </si>
  <si>
    <t>2YTA6B52693361</t>
  </si>
  <si>
    <t>BERLIN TOWNSHIP POLICE DEPT (2YTA6B)</t>
  </si>
  <si>
    <t>OUR AGENCY IS RESPONSIBLE FOR PATROLLING AND RESPONDING TO INCIDENTS IN THE UWHARRIE NATIONAL FOREST AND THIS VEHICLE WOULD ENSURE THAT WE WOULD BE ABLE TO SAFELY RESPOND TO ANY LOCATION WITHIN THE NATIONAL FOREST AND WOULD BE A HUGE ASSET TO OUR AGENCY AND OUR CITIZENS. PLEASE CONSIDER AWARDING THIS VEHICLE TO OUR AGENCY. THANK YOU FOR YOUR CONSIDERATION.</t>
  </si>
  <si>
    <t>2YTHYP52693612</t>
  </si>
  <si>
    <t>OUR SHERIFF'S OFFICE DESPERATELY NEEDS THIS ARMORED VEHICLE TO SAFELY RESPOND AND DEPLOY OUR SWAT TEAM TO DANGEROUS CALLS. UNFORTUNATELY, WE LIVE IN A VERY RURAL AND POVERTY-STRICKEN COUNTY AND OUR SHERIFF'S OFFICE CANNOT AFFORD AN ITEM SUCH AS THIS BECAUSE OF FUNDING. WE HUMBLY ASK THAT YOU PLEASE CONSIDER AWARDING THIS ARMORED VEHICLE TO OUR AGENCY SO THAT WE CAN ENSURE THAT OUR OFFICERS ARE PROTECTED AND ARE ABLE TO RETURN HOME SAFELY TO THEIR FAMILIES AFTER BEING DEPLOYED.</t>
  </si>
  <si>
    <t>TRUCK,ARMORED</t>
  </si>
  <si>
    <t>2YTHYP52693168</t>
  </si>
  <si>
    <t>OUR SHERIFF'S OFFICE EMERGENCY RESPONSE TEAM DESPERATELY NEEDS THIS UNMANNED VEHICLE FOR BOMBS THREATS, BARRICADED SUBJECTS AND RESCUE MISSIONS WHERE SENDING OFFICERS INTO AREA ARE NOT PRACTICAL. OUR AGENCY CANNOT AFFORD ITEMS SUCH AS THIS AND WOULD ENSURE THAT OUR OFFICERS REMAIN SAFE. PLEASE CONSIDER AWARDING THIS UNMANNED VEHICLE TO OUR AGENCY.  THANK YOU FOR YOUR CONSIDERATION.</t>
  </si>
  <si>
    <t>2YTHYP52623610</t>
  </si>
  <si>
    <t>OUR AGENCY DESPERATELY NEEDS THESE RESCUE STRAP CUTTERS FOR OUR SWAT TEAM MEMBERS AND PATROL OFFICERS. THESE RESCUE STRAP CUTTERS WILL ALLOW US TO GIVE EVERY OFFICER ONE TO ENSURE THAT THEY WILL BE ABLE TO RESCUE SOMEONE ENTANGLED IN A SEAT BELT DURING A CRASH. UNFORTUNATELY, OUR BUDGET DOES NOT ALLOW US TO HAVE EVEN THE BASICS NEEDED TO PERFORM OUR JOB. PLEASE CONSIDER AWARDING THESE RESCUE CUTTERS TO OUR AGENCY.</t>
  </si>
  <si>
    <t>2YTHYP52622423</t>
  </si>
  <si>
    <t>OUR AGENCY IS NEEDING THESE FIRST AID KITS FOR OUR SWAT OPERATORS. UNFORTUNATELY, WE ARE A POOR COUNTY, AND OUR AGENCY DOES NOT HAVE THE BUDGET OR RESOURCES TO PROPERLY PROVIDE THESE ITEMS TO OUR OFFICERS. PLEASE CONSIDER ALLOCATING THESE KITS TO OUR AGENCY. THANK YOU FOR YOUR CONSIDERATION.</t>
  </si>
  <si>
    <t>2YTHYP52612694</t>
  </si>
  <si>
    <t>OUR AGENCY DESPERATELY NEEDS THESE GOGGLES FOR OUR SWAT TEAM MEMBERS AND PATROL OFFICERS FOR RIOT CONTROL AND SWAT OPERATIONS. THESE GOGGLES WILL ALLOW OUR AGENCY TO PROVIDE PROTECTION TO THEIR EYES DURING THESE TENSE INCIDENTS. AGAIN, UNFORTUNATELY OUR BUDGET DOES NOT ALLOW US TO HAVE EVEN THE BASICS NEEDED TO PERFORM OUR JOB. PLEASE CONSIDER AWARDING THESE GOGGLES TO OUR AGENCY SO THAT OUR OFFICERS CAN FEEL PROTECTED WHILE PERFORMING THEIR JOB DUTIES.</t>
  </si>
  <si>
    <t>2YTHYP52612418</t>
  </si>
  <si>
    <t>OUR AGENCY NEED THESE FILED PACKS SO THAT OUR OFFICERS CAN STORE AND CARRY THEIR DUTY EQUIPMENT IN THEM AND STORE SAFELY IN THEIR PATROL VEHICLES.</t>
  </si>
  <si>
    <t>2YTHYP52612402</t>
  </si>
  <si>
    <t>OUR AGENCY NEEDS THESE ITEMS FOR OUR LAKE PATROL UNITS TO AID IN THEIR EFFORTS FOR SEARCH AND RESCUE OPERATIONS ON BADIN AND TILLERY LAKES WITHIN MONTGOMERY COUNTY. THESE DEPTH FINDERS WILL ENHANCE OUR ABILITY TO PERFORM SEARCHES AND KNOW DEPTHS WITHIN THE WATER.</t>
  </si>
  <si>
    <t>COMMERCIAL FISHING EQUIPMENT</t>
  </si>
  <si>
    <t>DSCOMFISH</t>
  </si>
  <si>
    <t>2YTHYP52612150</t>
  </si>
  <si>
    <t>OUR AGENCY NEEDS THIS ITEM SO THAT WE CAN OFFER REFRESHMENT TO OUR GUESTS AND OFFICERS.</t>
  </si>
  <si>
    <t>COFFEE MAKER</t>
  </si>
  <si>
    <t>DSCOFFEE1</t>
  </si>
  <si>
    <t>2YTHYP52611942</t>
  </si>
  <si>
    <t>OUR AGENCY NEEDS THESE ITEMS FOR OUR K9 OFFICERS TO STORE THEIR GEAR AND EQUIPMENT IN.</t>
  </si>
  <si>
    <t>2YTHYP52611941</t>
  </si>
  <si>
    <t>OUR AGENCY NEEDS THESE ITEMS FOR OUR SWAT TEAMS OPERATORS TO BE ABLE TO DEPLOY FOR VEHICLE ASSAULTS AND VEHICLE HOSTAGE RESCUES.</t>
  </si>
  <si>
    <t>2YTHYP52611928</t>
  </si>
  <si>
    <t>OUR AGENCY IS NEEDING THESE FIRST AID KITS FOR OUR SWAT OPERATORS.</t>
  </si>
  <si>
    <t>2YTHYP52611914</t>
  </si>
  <si>
    <t>TO BE USED FOR THE SWAT TEAM MEMBERS DEPARTMENT ISSUED RIFLE, USED FOR TRAINING, EMERGENCY INCIDENTS, EVENTS, AND LAW ENFORCEMENT CALLS. TO BE USED BY  THE POLICE DEPARTMENT</t>
  </si>
  <si>
    <t>2YTFRN52623537</t>
  </si>
  <si>
    <t>Rejected by EAZ0039.  Comments: Item is now in GSA cycle and cannot be approved for LESO participants..</t>
  </si>
  <si>
    <t>FOR USE BY THIS LEA ONLY. TO BE USED BY THE LEOS OF THIS AGENCY. THIS FORKLIFT WILL BE UTILIZED IN OUR POLICE STORAGE TO SAFELY MOVE AND TRANSPORT AMMUNITION, RANGE SUPPLIES, AND HEAVY EQUIPMENT FOR LAW ENFORCEMENT OPERATIONS AND TRAINING.</t>
  </si>
  <si>
    <t>2YTEY452623670</t>
  </si>
  <si>
    <t>WASHINGTON COUNTY SHERIFF'S OFFICE IS A LAW ENFORCEMENT AGENCY IN THE STATE OF VIRGINIA. OUR AGENCY COULD USE THIS VAN FOR PRISONER TRANSPORTS. THIS VEHICLE WILL BE USE BY LAW ENFORCEMENT PERSONNEL.</t>
  </si>
  <si>
    <t>2YTM9Q52763743</t>
  </si>
  <si>
    <t>THIS VEHICLE WOULD AID THE POLICE DEPARTMENT ON EMERGENCY CALLS BY HAVING ALL EMERGENCY TOOLS ON ONE VEHICLE. TELLICO PLAINS POLICE DEPARTMENT ASSUMES ALL COST AND EXPENSES.</t>
  </si>
  <si>
    <t>2YTLRG52763693</t>
  </si>
  <si>
    <t>THIS ASSET WOULD BENEFIT THIS AGENCY AND ITS OFFICERS BY ALLOWING US TO UTILIZE THIS AS A EMERGENCY RESPONSE VEHICLE TO NATURAL DISASTERS, BARRICADED SUBJECTS, AS WELL AS TRAFFIC CONTROL UNIT. THIS WOULD ALLOW US TO BLOCK LARGER SECTIONS OF ROADWAYS AND AREAS TO KEEP OFFICERS AND OTHER EMERGENCY WORKERS SAFE ON TRAFFIC SCENES.WE WOULD REPAIR THIS VEHICLE AS NECESSARY AND CONTACT THE FORT FOR INFORMATION.</t>
  </si>
  <si>
    <t>2YTS0852763732</t>
  </si>
  <si>
    <t>THIS ASSET WOULD BENEFIT OUR OFFICERS AND AGENCY BY ALLOWING US TO UTILIZE THIS AS A INCIDENT RESPONSE VEHICLE SUCH AS A STRANDED MOTORIST ASSITANCE UNIT OR HAZMAT CLEANUP VEHICLE FOR TRAFFIC CRASHES. THIS WOULD ALLOW OUR AGENCY TO BE SELF SUFFICIENT. WE WOULD REPAIR THE VEHICLE AS NEEDED.</t>
  </si>
  <si>
    <t>2YTS0852763719</t>
  </si>
  <si>
    <t>THIS ASSET WOULD BENEFIT OUR AGENCY AND OFFICERS BY ALLOWING US TO UTILIZE THIS AS A WARRANT SERVICE AND PRISONER TRANSPORT VAN. THIS WOULD ALLOW OFFICERS TO TRANSPORT MULTIPLE OFFICERS OR ARRESTED PERSONS TO AND FROM AREAS WHERE WARRANT SERVICE WOULD BE CONDUCTED. WE WOULD REPAIR THIS ASSET AS NECESSARY</t>
  </si>
  <si>
    <t>2YTS0852763716</t>
  </si>
  <si>
    <t>Rejected by ETD1004.  Comments: duplicate entry.</t>
  </si>
  <si>
    <t>2YTS0852763715</t>
  </si>
  <si>
    <t>Rejected by ETD1004.  Comments: approved the same requisition for Sparta earlier.</t>
  </si>
  <si>
    <t>THIS ASSET WOULD BE BENEFICIAL TO OUR AGENCY AND OFFICERS BY ALLOWING US TO UTILIZE THIS AS A PATROL VEHICLE. THIS VEHICLE WOULD BE OUTFITTED WITH EMERGENCY EQUIPMENT TO RESPOND TO CALLS OF SERVICE AND EMERGENCIES IN A TIMELY MANNER. THIS WOULD ALLOW OFFICERS TO BE MORE EFFICIENT IN RESPONSE TIMES TO CALLS.</t>
  </si>
  <si>
    <t>2YTS0852763712</t>
  </si>
  <si>
    <t>THIA ASSET WOULD BENEFIT OUR AGENCY AND ITS OFFICERS BY ALLOWING US TO UTILIZE IT FOR TRANSPORTING OUR EQUIPMENT FROM THE POLICE DEPT TO SCENES AS WELL AS ALLOWING US TO PICKUP LARGER ITEMS THAT ARE PROCURED FROM LESO INSTEAD OF PAYING HIGH SHIPPING COSTS WHICH WOULD SAVE OUR BUDGET. WE COULD UTILIZE THIS ASSET WITH OR WITHOUT A TRAILER DUE TO THE FLAT BED AND COULD HAUL HEAVIER AND MORE ITEMS. THIS ASSET WOULD BE REPAIRED AS NECESSARY AND I HAVE ALREADY SPOKEN WITH THE POC ABOUT THIS ITEM.</t>
  </si>
  <si>
    <t>2YTS0852763686</t>
  </si>
  <si>
    <t>THE BRISTOL POLICE DEPARTMENT WOULD USE THIS VAN TO TRANSPORT RESERVE OFFICERS TO THEIR ASSIGNED LOCATIONS DURING NATURAL DISASTERS OR MAJOR STORMS FOR TRAFFIC CONTROL LIKE DURING HURRICANE HELENE. THE BASE STATES THE VAN IS OPERATIONAL.</t>
  </si>
  <si>
    <t>2YTBJQ52763706</t>
  </si>
  <si>
    <t>THE WARTBURG POLICE DEPARTMENT WILL USE THIS TRUCK AS A MOBILE COMMAND CENTER FOR CRIME SCENES AND NATURAL DISASTERS, INCLUDING TORNADO RESPONSE. IT WILL HOUSE MULTIPLE RADIOS TO FUNCTION AS A DISPATCH CENTER AND SUPPORT COORDINATION WITH OTHER AGENCIES. THE TRUCK WILL ALSO SERVE AS A REHAB AREA FOR OFFICERS AND A STAGING POINT AT COMMUNITY EVENTS.</t>
  </si>
  <si>
    <t>2YTM8552763838</t>
  </si>
  <si>
    <t>WARTBURG POLICE DEPARTMENT (2YTM85)</t>
  </si>
  <si>
    <t>Rejected by EAZ0039.  Comments: Allocated to another NJ LEA..</t>
  </si>
  <si>
    <t>THIS ITEM WILL BE USED EXCLUSIVELY BY LEOS FROM THIS LEA. THIS ITEM WILL BE UTILIZED BY OFFICERS ASSIGNED TO SPECIALIZED UNITS TO CARRY THEIR ASSIGNED EQUIPMENT.</t>
  </si>
  <si>
    <t>2YTK2052763812</t>
  </si>
  <si>
    <t>FOR USE BY THIS AGENCY, ORANGE POLICE DEPARTMENT ONLY! THE ORANGE POLICE WILL UTILIZE A VAN FOR PRISONER TRANSPORT WITHIN THE PATROL DIVISION. THIS VEHICLE IS DESIGNATED TO PROVIDE SECURE, RELIABLE TRANSPORTATION OF INDIVIDUALS WHO HAVE BEEN PROCESSED BY THE DEPARTMENT. THE PRIMARY FUNCTION OF THE VAN WILL BE TO TRANSPORT DETAINEES FROM THE DEPARTMENT TO COUNTY JAIL, ENSURING THAT INDIVIDUALS ARE SAFELY, EFFICIENTLY MOVED BETWEEN LOCATIONS AFTER PROCESSING.</t>
  </si>
  <si>
    <t>2YT15D52763758</t>
  </si>
  <si>
    <t>THE MADISONVILLE POLICE DEPARTMENT IS REQUESTING THIS VAN FOR USE BY OUR OFFICERS. THIS VAN WOULD BE USED TO HAUL TACTICAL EQUIPMENT AND PERSONNEL TO SCENES, TRANSPORT LARGE EVIDENCE, AND UNDERCOVER DRUG SURVEILLANCE. DUE TO BUDGET CONSTRAINTS WE ARE CURRENTLY UNABLE TO PURCHASE MUCH NEEDED EQUIPMENT LIKE THIS VAN. THANKS</t>
  </si>
  <si>
    <t>2YTG5752763835</t>
  </si>
  <si>
    <t>THE VIRGINIA STATE POLICE REQUESTS THIS VEHICLE TO BE UTILIZED BY SWORN PERSONNEL TO TRANSPORT LAW ENFORCEMENT EQUIPMENT AND SUPPLIES.</t>
  </si>
  <si>
    <t>2YTMXW52763907</t>
  </si>
  <si>
    <t>Rejected by EGW0511.  Comments: MRAP already issued by LESO.</t>
  </si>
  <si>
    <t>THE SCOTLAND COUNTY SHERIFF'S OFFICE IS LOOKING TO ADD A ARMORED VEHICLE TO ASSIST WITH OUR SWAT TEAM WITH TACTICAL AND SEARCH AND RESCUE OPERATIONS.  THE ADDITION OF THIS ITEM WILL GREATLY INCREASE OFFICER SAFETY DURING TACTICAL OPERATIONS AS WELL AS ASSIST OFFICERS WITH SEARCH AND RESCUE OPERATIONS DURING ANT-TERRORISM AND ANTI-NARCOTICS MISSIONS.</t>
  </si>
  <si>
    <t>2YTKUK52763978</t>
  </si>
  <si>
    <t>2YTKUK52763976</t>
  </si>
  <si>
    <t>THE SCOTLAND COUNTY SHERIFF'S OFFICE IS LOOKING TO ADD A ARMORED VEHICLE TO ASSIST WITH OUR SWAT TEAM WITH TACTICAL AND SEARCH AND RESCUE OPERATIONS.  THE ADDITION OF THIS ITEM WILL GREATLY INCREASE OFFICER SAFETY DURING TACTICAL OPERATIONS AS WELL AS ASSIST OFFICERS WITH SEARCH AND RESCUE OPERATIONS DURING ANT-TERRORISM AND ANTI-NARCOTICS MISSIONS</t>
  </si>
  <si>
    <t>2YTKUK52763973</t>
  </si>
  <si>
    <t>THE SCOTLAND COUNTY SHERIFF'S OFFICE IS LOOKING TO ADD A ARMORED VEHICLE TO ASSIST WITH OUR SWAT TEAM WITH TACTICAL AND SEARCH AND RESCUE OPERATIONS.  THE ADDITION OF THIS ITEM WILL GREATLY INCREASE OFFICER SAFETY DURING TACTICAL OPERATIONS AS WELL AS ASSIST OFFICERS WITH SEARCH AND RESCUE OPERATIONS.</t>
  </si>
  <si>
    <t>2YTKUK52763971</t>
  </si>
  <si>
    <t>2YTKUK52763970</t>
  </si>
  <si>
    <t>Rejected by EJH2476.  Comments: REJECT JH COND CODE H.</t>
  </si>
  <si>
    <t>THE OLIVER SPRINGS POLICE DEPARTMENT NOR ANY AGENCY CLOSE HAS A MOBILE COMMAND CENTER FOR OPERATIONS.  WE WOULD LOVE TO UTILIZE THIS AS A MOBILE COMMAND POST FOR OPERATIONS IN NATURAL DISASTERS, EXECUTING COMMAND POSTS FOR SITUATIONS INVOLVING OUR SRT TEAM FOR COUNTER DRUG AND TERRORISM.</t>
  </si>
  <si>
    <t>2YT12V52763944</t>
  </si>
  <si>
    <t>2YTFRN52693532</t>
  </si>
  <si>
    <t>REQUESTED BY SCDPS TO BE USED BY SCDPS LAW ENFORCEMENT OFFICERS ASSIGNED TO THE TRAINING UNIT TO TRANSPORT TRAINEES TO AND FROM TRAINING SITES.</t>
  </si>
  <si>
    <t>2YTKTF52763834</t>
  </si>
  <si>
    <t>Rejected by EMK0354.  Comments: Justification must corrected. Property must be used for officers and the agency. Not community parks..</t>
  </si>
  <si>
    <t>THE TOWNSEND POLICE DEPARTMENT WILL UTILIZE THESE LIGHTS AT THE FOLLOWING LOCATIONS TO ILLUMINATE THE AREA'S 10 AROUND OUR STATION, 15 AT OUR PARK AND 5 TO BE USED AT CRIME SCENE'S IN AN EFFORT TO PREVENT AND SOLVE CRIME BY EVIDENCE GATHERING.</t>
  </si>
  <si>
    <t>2YTRSG52764213</t>
  </si>
  <si>
    <t>FOR USE BY THIS LEA ONLY. THIS ITEM WILL BE USED BY THIS LEA'S TACTICAL TEAM TO ENHANCE LOW LIGHT CAPABILITIES. THIS LEA ROUTINELY RESPONDS TO CALLS IN LOW LIGHT ENVIRONMENTS WHERE PUBLIC SAFETY IS THREATENED.</t>
  </si>
  <si>
    <t>2YTJ2J52764189</t>
  </si>
  <si>
    <t>RAMSEY POLICE DEPT (2YTJ2J)</t>
  </si>
  <si>
    <t>Rejected by EDP0815.  Comments: The NJ 1033 Program LESO is no longer approving items that bear a DTID that begins with the number and letters 2YT. This coding indicates that the item is a turn-in from another PD. Turn-ins are typically inoperable, irreparable, and become a burden on the receiving LEA, as well as our office when the item must be returned per DLA policy for items that cannot be used or be made to be usable without cannibalization of the item..</t>
  </si>
  <si>
    <t>FOR USE BY THIS LEA ONLY. THIS ITEM WILL BE USED BY THIS LEA'S TACTICAL TEAM TO ENHANCE LOW LIGHT SHOOTING CAPABILITIES AND ENHANCE ACCURACY AND SAFETY. TACTICAL TEAM IS DEPLOYED DURING MASS GATHERING TO ENHANCE PUBLIC SAFETY.</t>
  </si>
  <si>
    <t>2YTJ2J52764186</t>
  </si>
  <si>
    <t>2YTJ2J52764184</t>
  </si>
  <si>
    <t>2YTJ2J52764183</t>
  </si>
  <si>
    <t>Rejected by EDT0369.</t>
  </si>
  <si>
    <t xml:space="preserve">SWORN OFFICER'S OF THE ONTARIO POLICE DEPARTMENT WILL UTILIZE THIS EQUIPMENT FOR- HOSTAGE RESCUE, ACTIVE SHOOTER RESPONSE IN SCHOOLS, CHURCHES AND OTHER EVENTS, BARRICADED SUBJECT RESPONSE, COUNTER DRUG RESPONSE AND HIGH RISK SEARCH WARRANT SERVICE. 
</t>
  </si>
  <si>
    <t>2YT0N852764240</t>
  </si>
  <si>
    <t>ONTARIO POLICE DEPT (2YT0N8)</t>
  </si>
  <si>
    <t>FOR USE BY THE HASBROUCK HEIGHTS POLICE DEPARTMENT AND ITS MEMBERS ONLY. THIS DRONE WILL UTILIZED DURING LAW ENFORCEMENT OPERATIONS THAT REQUIRE AERIAL COVERAGE DURING CRITICAL INCIDENTS. IT WILL BE USED DURING SEARCH AND RESCUE EFFORTS, SURVEILLANCE, AND TACTICAL RESPONSE.</t>
  </si>
  <si>
    <t>2YTQCV52764185</t>
  </si>
  <si>
    <t>FOR USE BY THE HASBROUCK HEIGHTS POLICE DEPARTMENT AND ITS MEMBERS ONLY. TO BE USED BY LAW ENFORCEMENT OFFICERS. THESE NIGHT VISION GOGGLES WILL BE UTILIZED DURING LAW ENFORCEMENT OPERATIONS THAT REQUIRE LOW-LIGHT OR NO-LIGHT CAPABILITIES, INCLUDING SEARCH AND RESCUE, SURVEILLANCE, AND TACTICAL RESPONSE.</t>
  </si>
  <si>
    <t>2YTQCV52764180</t>
  </si>
  <si>
    <t>THIS ITEM IS TO BE USED BY MEMBERS OF THE HASBROUCK HEIGHTS POLICE DEPARTMENT ONLY. THESE SHOES WILL BE UTILIZED DURING STORM FLOODING AND SEARCH AND RESCUE EFFORTS.</t>
  </si>
  <si>
    <t>2YTQCV52694190</t>
  </si>
  <si>
    <t>TO BE USED BY THE MEMBERS OF THE HASBROUCK HEIGHTS POLICE DEPARTMENT ONLY. THESE BAGS WILL BE UTILIZED TO CARRY LIFE SAVING EQUIPMENT, SUCH AS TOURNIQUETS, CHEST SEALS, AND OTHER FIRST AID.</t>
  </si>
  <si>
    <t>2YTQCV52694188</t>
  </si>
  <si>
    <t>Rejected by EJR00818.  Comments: correct justification and resubmit  .</t>
  </si>
  <si>
    <t>TEXARKANA PD WILL USE A SOCKET SET TO MAINTAIN AND REPAIR ESSENTIAL EQUIPMENT, VEHICLES, AND TRAINING RESOURCES, ENSURING READINESS AND RELIABILITY DURING CRITICAL INCIDENTS AND DAILY OPERATIONS. THIS TOOL SET WILL ENHANCE EFFICIENCY, REDUCE DOWNTIME, AND SUPPORT ACCOUNTABILITY IN MAINTAINING MISSION-CRITICAL ASSETS FOR RAPID DEPLOYMENT. THE ACQUISITION STRENGTHENS OPERATIONAL PREPAREDNESS AND SUSTAINABILITY. LAW ENFORCEMENT USE ONLY.</t>
  </si>
  <si>
    <t>ROVER 5 HANDHEL</t>
  </si>
  <si>
    <t>2YTLR852694260</t>
  </si>
  <si>
    <t>ROPE WILL BE USED BY OUR SPECIAL OPERATIONS UNIT WHO OPERATE THE SWIFT WATER TRUCK AND OTHER RESCUE FUNCTIONS</t>
  </si>
  <si>
    <t>CL</t>
  </si>
  <si>
    <t>ROPE,FIBROUS</t>
  </si>
  <si>
    <t>2YTQQ152764328</t>
  </si>
  <si>
    <t>EAST RUTHERFORD POLICE DEPT (2YTQQ1)</t>
  </si>
  <si>
    <t>THESE GOOGLES WILL BE USED BY MEMBERS OF OUR SWAT TEAM WHEN THEY PREFORM NIGHT OPERATIONS</t>
  </si>
  <si>
    <t>2YTQQ152764326</t>
  </si>
  <si>
    <t>THESE BOOTS WILL BE USED OUR SPECIAL OPERATIONS TEAM FOR WATER RESCUES,</t>
  </si>
  <si>
    <t>2YTQQ152694330</t>
  </si>
  <si>
    <t>VIRGINIA STATE POLICE IS A STATE LAW ENFORCEMENT AGENCY THAT IS SEEKING VEHICLE TYPE PROPERTY TO BE USED BY SWORN OFFICERS IN UNDERCOVER WORK. THIS VEHICLE WOULD BE EXCELLENT FOR SITUATIONS FOR DRUG RELATED OPERATIONS AND GENERAL HAULING OF PERSONNEL, EQUIPMENT AND SUPPLIES WITHIN THE AGENCY BY OFFICERS FOR TRAINING OR OTHER RELATED DUTIES.</t>
  </si>
  <si>
    <t>2YTMXW52764294</t>
  </si>
  <si>
    <t>2YTMXW52764292</t>
  </si>
  <si>
    <t>MOUNT OLIVE IS A SMALL TOWN IN RURAL WAYNE COUNTY IN NORTH CAROLINA. DURING NATURAL DISASTERS, THE TOWN IS CUT OFF WITH ANY TYPES OF RESOURCES. MAJORITY OF THE TOWN FLOODS. THE POLICE DEPARTMENT PROVIDES SHELTER FOR THE PUBLIC. THE TOWN DOES HAVE A FACILITY, BUT NOT A GENERATOR. THIS GENERATOR WOULD BE A GREAT ASSET FOR THE POLICE DEPARTMENT FOR PUBLIC SAFETY.</t>
  </si>
  <si>
    <t>2YTH5P52764390</t>
  </si>
  <si>
    <t>MOUNT OLIVE PD (2YTH5P)</t>
  </si>
  <si>
    <t>Rejected by EMK0354.</t>
  </si>
  <si>
    <t>THE TOWNSEND POLICE DEPARTMENT WILL USE THIS SYSTEM IF HANDHELD, AS AN OFFICER SAFETY TOOL TO HELP SEE A SUSPECT IN BRUSH, AT NIGHT OR IN A BUILDING. WE WILL ALSO USE IT AS A SEARCH AND RESCUE TOOL TO LOCATE MISSING OR INJURED ADULTS OR YOUTH. OUR COMMUNITY PRESENTLY HAS 3 SCHOOLS 3 PRE-SCHOOLS AND SEVERAL SUBJECTS WITH DEMENTIA, ALZHEIMER'S AND OTHER MENTAL DIMINISHED CAPACITIES.</t>
  </si>
  <si>
    <t>2YTRSG52764212</t>
  </si>
  <si>
    <t>Rejected by EGW0511.  Comments: Cannot approve because of overdue receipts.</t>
  </si>
  <si>
    <t>2YTKUK52904350</t>
  </si>
  <si>
    <t>UNMANNED VEHICLE,GR</t>
  </si>
  <si>
    <t>2YTKUK52694449</t>
  </si>
  <si>
    <t>2YTKUK52694448</t>
  </si>
  <si>
    <t>2YTKUK52694447</t>
  </si>
  <si>
    <t>Rejected by EMK0354.  Comments: Correct justification. Just only write the justification. .</t>
  </si>
  <si>
    <t>THE TOWNSEND POLICE DEPARTMENT IS REQUESTING THIS ITEM TO BE USED IN OUR POLICE STATION TO BE USED OFFICERS FOR KEEPING MEALS AND OTHER PERISHABLE ITEMS IN THE REFRIGERATOR AND ITEMS SUCH AS FROZEN FOODS IN THE FREEZER THAT THEY CAN PREPARE ON THEIR BREAKS. THE  REFRIGERATOR WE HAVE IS NOT WORKING PROPERLY WE WERE DENIED ON DTID N001782213TJ10  WE THANK YOU FOR YOUR ANTICIPATED APPROVAL.</t>
  </si>
  <si>
    <t>2YTRSG52834663</t>
  </si>
  <si>
    <t>Authorized for 1 UAH. Approved DTID W8115U51420144. TVS AN</t>
  </si>
  <si>
    <t>2YTHWR51857274</t>
  </si>
  <si>
    <t>LESOHQ</t>
  </si>
  <si>
    <t>Your agency has received 19 various trailers over the past 3 years. A more detailed or stronger justification must be written before this can be approved.</t>
  </si>
  <si>
    <t>WASHINGTON COUNTY SHERIFF'S OFFICE IS LAW ENFORCEMENT AGENCY IN THE STATE OF VIRGINIA. OUR AGENCY COULD USE THIS LOW BOY TRAILER FOR HAULING HEAVY EQUIPMENT. THIS TRAILER WILL BE USE BY LAW ENFORCEMENT PERSONNEL.</t>
  </si>
  <si>
    <t>2YTM9Q51927484</t>
  </si>
  <si>
    <t>WASHINGTON COUNTY SHERIFF'S OFFICE IS A LAW ENFORCEMENT AGENCY IN THE STATE OF VIRGINIA. OUR AGENCY COULD USE THIS TRAILER FOR HAULING EQUIPMENT. THIS TRAILER WILL BE USE BY LAW ENFORCEMENT PERSONNEL.</t>
  </si>
  <si>
    <t>2YTM9Q51927477</t>
  </si>
  <si>
    <t>2 outboard motors assigned under NSN 2805-01-660-05567 for a 4 personnel department, and two addtional approved in RTD by ATR on 02JUL2025.</t>
  </si>
  <si>
    <t>2YTRL451576014</t>
  </si>
  <si>
    <t>At this time the LESO will not approve any requisitions with FSC 5855 that has been turned in by a LESO customer meaning DTIDs that start with 2YT AND/OR with a condition code of F, G, or H without the acknowledgement from the requesting agency stating they have contacted the site where the property is located to CONFIRM and ACCEPT condition of property.  Confirm and accept statements need to be in the justification comment box.</t>
  </si>
  <si>
    <t>TO THE PICKENS COUNTY SHERIFF'S OFFICE 216 C DAVID STONE RD PICKENS, SC 29671, FOR PICKENS COUNTY DEPUTIES S.W.A.T FOR IDENTIFICATION UNDER NIGHT VISION, ALONG WITH POSITIVE MARKING AND IDENTIFICATION OF THREATS AND POSSIBLE THREAT LOCATIONS.</t>
  </si>
  <si>
    <t>2YTJL951927641</t>
  </si>
  <si>
    <t>CYCLE: This item has moved into the unapproved General Services Administration GSA cycle and cannot be approved to LESO customers.</t>
  </si>
  <si>
    <t>FOR MAINTENANCE OF OUR OH-58 HELICOPTERS THAT WERE OBTAINED THROUGH THE 1033 PROGRAM AND ARE USED IN LAW ENFORCEMENT AND COUNTER DRUG OPERATIONS</t>
  </si>
  <si>
    <t>2YTKLY51857804</t>
  </si>
  <si>
    <t>Justification:  Does not provide enough details of how this agency is going to utilize them.  Please provide persuasive justification.</t>
  </si>
  <si>
    <t>CONDITION VERIFIED. NEEDS BATTERY CAP. INTENSIFIER FOR NIGHT OBSERVATION.</t>
  </si>
  <si>
    <t>2YTPA251998010</t>
  </si>
  <si>
    <t>2YTPA251927960</t>
  </si>
  <si>
    <t>2YTPA251927959</t>
  </si>
  <si>
    <t>2YTPA251927957</t>
  </si>
  <si>
    <t>2YTPA251927956</t>
  </si>
  <si>
    <t>NIGHT VISION FOR OFFICER. CONDITION VERIFIED AS REQUIRED.</t>
  </si>
  <si>
    <t>2YTPA251927955</t>
  </si>
  <si>
    <t>2YTPA251927954</t>
  </si>
  <si>
    <t>2YTPA251927953</t>
  </si>
  <si>
    <t>2YTPA251927952</t>
  </si>
  <si>
    <t>2YTPA251927951</t>
  </si>
  <si>
    <t>2YTPA251927950</t>
  </si>
  <si>
    <t>2YTPA251927949</t>
  </si>
  <si>
    <t>NIGHT VISION FOR OFFICERS. CONDITION AS BEEN VERIFIED AS REQUIRED.</t>
  </si>
  <si>
    <t>2YTPA251927948</t>
  </si>
  <si>
    <t>CYCLE:  Item is in the GSA Cycle, which is not authorized for LESO customers.</t>
  </si>
  <si>
    <t>CASE,SUPPLY,I.V.</t>
  </si>
  <si>
    <t>2YTSYK51787407</t>
  </si>
  <si>
    <t>JUSTIFICATION: Please provide a justification that states these three requirements. We need to know that it will be used by the requested Law Enforcement Agency, used for a Law Enforcement purpose and be persuasive. Provide specific examples of how the item will be used.</t>
  </si>
  <si>
    <t>ROTOR WASH EYE PROTECTION.</t>
  </si>
  <si>
    <t>2YTMNB51927770</t>
  </si>
  <si>
    <t>2YTMPA51857834</t>
  </si>
  <si>
    <t>CYCLE -- Item is the GSA cycle which is not authorized for LESO customers</t>
  </si>
  <si>
    <t>FOR LEA USE IN TECHNICAL OPERATIONS</t>
  </si>
  <si>
    <t>SOLDERING IRON,ELEC</t>
  </si>
  <si>
    <t>2YTMPA51928158</t>
  </si>
  <si>
    <t>CYCLE -- Item is in the GSA cycle which is not authorized for LESO customers</t>
  </si>
  <si>
    <t>FOR USE BY LEA IN EVIDENCE COLLECTION AND DOCUMENTATION OPERATIONS</t>
  </si>
  <si>
    <t>2YTMPA51928149</t>
  </si>
  <si>
    <t>FOR USE BY LEA IN TECHNICAL OPERATIONS.</t>
  </si>
  <si>
    <t>BARCODE READER</t>
  </si>
  <si>
    <t>DSBARCODE</t>
  </si>
  <si>
    <t>2YTMPA51928148</t>
  </si>
  <si>
    <t>CYCLE the item has rolled into an unapproved Cycle</t>
  </si>
  <si>
    <t xml:space="preserve">THE TEHAMA COUNTY DISTRICT ATTORNEY BUREAU OF INVESTIGATIONS WILL ISSUE STRAP CUTTER,RESCUE TO INVESTIGATORS AND INVESTIGATORS ON THE SWAT TEAM TO CUT SEAT BELTS IN EMERGENCY SITUATIONS. 
</t>
  </si>
  <si>
    <t>2YTLQ851928295</t>
  </si>
  <si>
    <t>2YTLQ851928293</t>
  </si>
  <si>
    <t>LEAs in the State of Connecticut may only requisition property which is DEMIL A and Q6. This item is DEMIL Q3.</t>
  </si>
  <si>
    <t>FOR THE PROSPECT POLICE DEPARTMENT TO ISSUE TO OFFICERS TO USE FOR SEARCHES IN THE DARK.</t>
  </si>
  <si>
    <t>2YTJYC52348359</t>
  </si>
  <si>
    <t>JUSTIFICATION -- the justification provided does not specify the property will be used for law enforcement and by law enforcement</t>
  </si>
  <si>
    <t>THE BRADLEY POLICE DEPARTMENT PATROLS OVER 7 SQUARE MILES WITH A GROWING POPULATION OF JUST UNDER 16,000 RESIDENTS.  THE VILLAGE UTILIZES OUR RESOURCES FOR MANY MAJOR EVENTS WITHIN THE AREA THAT NEED OR MAY NEED IN AN EMERGENCY SITUATION A LARGE POWER SUPPLY DURING OUR OPERATIONS.  SUCH LOCATIONS INCLUDE A LARGE CONCERT VENUE, A NEWLY DEVELOPED 16 FIELD TRAVEL BALL FACILITY AND A 170-ACRE PARK WITH EVENTS WHERE THE POWER SUPPLY IS LIMITED DUE TO THE REMOTE LOCATION.</t>
  </si>
  <si>
    <t>2YTBGJ52068366</t>
  </si>
  <si>
    <t>2YTBGJ52068365</t>
  </si>
  <si>
    <t>CYCLE -- Item is in the GSA Cycle, which is not authorized for LESO customers.</t>
  </si>
  <si>
    <t>THIS CABINET WOULD BE UTILIZED TO SAFELY STORE HIGH VALUE EVIDENCE IN ACCORDANCE WITH USPIS POLICY AND IN THE OFFICIAL PERFORMANCE OF OUR DUTIES.</t>
  </si>
  <si>
    <t>2YTR2151857247</t>
  </si>
  <si>
    <t>USPS/USPIS SEATTLE DIV (2YTR21)</t>
  </si>
  <si>
    <t>LOCKING CABINET WOULD BE UTILIZED TO STORE HIGH VALUE EVIDENCE IAW USPIS POLICY.</t>
  </si>
  <si>
    <t>2YTR2151787248</t>
  </si>
  <si>
    <t>Allocation: Approved req 2YTMRF52068339. for over 400.</t>
  </si>
  <si>
    <t>2YTMRF52068341</t>
  </si>
  <si>
    <t>CYCLE: Item is in the GSA cycle</t>
  </si>
  <si>
    <t>2YTMRF51937927</t>
  </si>
  <si>
    <t>2YTMRF51937843</t>
  </si>
  <si>
    <t>2YTMRF51937842</t>
  </si>
  <si>
    <t>CYCLE -- LEAs are not authorized to requisition property in the GSA cycle</t>
  </si>
  <si>
    <t>WOULD BE ASSIGNED TO HUBBARD POLICE OFFICERS FOR MAINTENANCE OF WEAPONS AND POLICE EQUIPMENT, WOULD BE USED IN OUR POLICE SALLY PORT FOR ON THE FLY VEHICLE MAINTENANCE, BE PUT IN OUR POLICE ARMORY FOR WEAPON MAINTENANCE AND ONE AT THE HUBBARD POLICE WEAPONS RANGE.</t>
  </si>
  <si>
    <t>2YTFK751998603</t>
  </si>
  <si>
    <t>WOULD BE USED BY HUBBARD POLICE OFFICERS WHEN ASSIGNED TO TRAINING OR PLAIN CLOTHES ASSIGNMENTS, UNDERCOVER OPERATIONS.</t>
  </si>
  <si>
    <t>2YTFK751998602</t>
  </si>
  <si>
    <t>2YTFK751998601</t>
  </si>
  <si>
    <t>2YTFK751998600</t>
  </si>
  <si>
    <t>2YTFK751998598</t>
  </si>
  <si>
    <t>WOULD BE USED BY HUBBARD POLICE OFFICERS WHEN ASSIGNED TO TRAINING OR AT THE HUBBARD WEAPONS RANGE OR PLAIN CLOTHES OFFICER ASSIGNMENTS.</t>
  </si>
  <si>
    <t>2YTFK751998597</t>
  </si>
  <si>
    <t>TO AID IN THE TRANSPORT TO AND FROM COURT AND TO AND FROM THE JAIL</t>
  </si>
  <si>
    <t>2YTBCH52138912</t>
  </si>
  <si>
    <t>TO AID IN TRANSPORT TO AND FROM COURT AND TO AND FROM THE JAIL</t>
  </si>
  <si>
    <t>2YTBCH52138909</t>
  </si>
  <si>
    <t>2YTJL952139029</t>
  </si>
  <si>
    <t>THIS AGENCY HAS TWO HIGH VALUE TARGET POWER GENERATION STATIONS IN THE AREA. THIS AGENCY ALSO RESPONDS TO CALLS FOR LAW ENFORCEMENT RESPONSES INVOLVING RUGGED TERRAIN THAT NORMAL HIGHWAY VEHICLES ARE UNABLE TO ACCESS, THE AGENCY ALSO HAS MULTIPLE LOCATIONS IN ITS AREA OF RESPONSIBILITY WHERE LOCALIZED FLOODING REGULARLY OCCURS.  THIS AGENCY PROVIDES MUTUAL AID TO MULTIPLE OTHER LAW ENF AGENCIES IN THE AREA.</t>
  </si>
  <si>
    <t>2YT0E752059042</t>
  </si>
  <si>
    <t>RCSO NEEDS THIS EQUIPMENT TO ASSIST WITH SEARCH AND RESCUE OPERATIONS IN LOW LIGHT AND NO LIGHT CONDITIONS AS WELL AS FOR SURVIELLANCE OPERATIONS.  THESE ASSETS ARE PARAMOUNT TO PROVIDE SUPPORT FOR THESE EFFORTS DUE TO OUR TOPGRAPHICAL LANDSCAPE.</t>
  </si>
  <si>
    <t>2YTJ7852069104</t>
  </si>
  <si>
    <t>PER ATF REGULATION THE SWAT TEAM MUST STORE ALL THEIR EXPLOSIVE ITEMS IN AN APPROVED STORAGE CONTAINER THESE WILL MEET THAT REQUIREMENT.  THEY WILL BE PLACED WITHIN OUR TRAINING CENTER AS WELL AS MOUNTED IN THE BACK OF THE ARMORED VEHICLES.</t>
  </si>
  <si>
    <t>SHIPPING AND STORAGE CONTAINER,BOMB DISP</t>
  </si>
  <si>
    <t>2YTLK552068880</t>
  </si>
  <si>
    <t xml:space="preserve">THESE RADIOS WILL BE USED BY MEMBERS OF THE LEROY POLICE DEPARTMENT ON A DAILY BASIS. THE REQUESTED QUANTITY INCLUDES ADDITIONAL UNITS TO SERVE AS SPARES AND FOR PARTS, ENSURING OPERATIONAL READINESS AND SUPPORT IN EMERGENCY SITUATIONS. OUR AGENCY ACKNOWLEDGES AND ACCEPTS THE RADIOS IN THEIR CURRENT CONDITION OF H. 
</t>
  </si>
  <si>
    <t>2YTQTD52139364</t>
  </si>
  <si>
    <t>LEA would be over allocated. TVS AN</t>
  </si>
  <si>
    <t>THIS EQUIPMENT IS NECESSARY FOR THE MUNICIPAL POLICE TO BE PREPARED IN CASE OF AN EMERGENCY OR NATURAL DISASTER, AS IT ALLOWS US TO REACH HARD TO REACH PLACES.</t>
  </si>
  <si>
    <t>2YT04P52139055</t>
  </si>
  <si>
    <t>AGUADA POLICE DEPARTMENT (2YT04P)</t>
  </si>
  <si>
    <t>Rejected by S9D4445.  Comments: In donation cycle..</t>
  </si>
  <si>
    <t>STRAP,WEBBING</t>
  </si>
  <si>
    <t>2YTP3E51857298</t>
  </si>
  <si>
    <t>2YTP3E51857295</t>
  </si>
  <si>
    <t>Rejected by S9D4445.  Comments: IN GSA cycle..</t>
  </si>
  <si>
    <t>2YTR6451927665</t>
  </si>
  <si>
    <t>Denied due to condition code</t>
  </si>
  <si>
    <t>THIS ITEM WOULD ASSIST THE KINSEY POLICE DEPARTMENT IN WORKING ON OUR OWN EQUIPMENT AND SAVING MONEY FOR THE DEPARTMENT. DUE TO ONE OF MY OFFICERS IS A CERTIFIED MECHANIC</t>
  </si>
  <si>
    <t>TEST STAND,HYDRAULIC SYSTEM COMPONENTS</t>
  </si>
  <si>
    <t>2YTRAR51857565</t>
  </si>
  <si>
    <t>FOR USE BY ON DUTY OSD OFFICERS ASSIGNED TO THE SHERIFF'S SEARCH AND RESCUE TEAM WHEN RESPONDING TO INCIDENTS INVOLVING HAZARDOUS MATERIALS AND ENVIRONMENTS. CURRENTLY THERE IS ONE BREATHING SYSTEM ASSIGNED TO THE TEAM.</t>
  </si>
  <si>
    <t>BREATHING APPARATUS</t>
  </si>
  <si>
    <t>2YT1WK52149656</t>
  </si>
  <si>
    <t>FOR USE BY THE OSD OFFICERS ASSIGNED TO THE GARAGE AND MAINTENANCE SECTION. THESE WILL BE USED FOR VEHICLE AND EQUIPMENT MAINTENANCE.</t>
  </si>
  <si>
    <t>2YT1WK52149655</t>
  </si>
  <si>
    <t>JUSTIFICATION - Does not indicate how this will be used by law enforcement officers for a law enforcement purpose</t>
  </si>
  <si>
    <t>TO USE IN THE POLICE DEPT JAIL KITCHEN TO PROPERLY STORE FOOD.</t>
  </si>
  <si>
    <t>REFRIGERATOR,MECHAN</t>
  </si>
  <si>
    <t>2YTBCH52279676</t>
  </si>
  <si>
    <t>TO REPLACE THE OLD EXSISTING OVEN IN THE POLICE DEPT JAIL JAIL TO BE ABLE TO BE UP TO CODE</t>
  </si>
  <si>
    <t>OVEN</t>
  </si>
  <si>
    <t>DSOVEN000</t>
  </si>
  <si>
    <t>2YTBCH52279675</t>
  </si>
  <si>
    <t>FOR THE USE IN THE KITCHEN OF THE JAIL TO UPGRADE THE KITCHEN AREA</t>
  </si>
  <si>
    <t>2YTBCH52279672</t>
  </si>
  <si>
    <t>CYCLE - LESO customers are not authorized to requisition property in the GSA cycle</t>
  </si>
  <si>
    <t>CCSO, WOULD LIKE RO REQUEST THESE HANDSETS FOR USE BY OUR PERSONAL FOR THE EXPRESS USE FOR COMMUNCATION THAT ARE NOT UP TO THE STANDARD OR NEED OF RADIO TALK. WE SEE A MANY USES FOR THESE HANDSETS.
 THANK YOU</t>
  </si>
  <si>
    <t>HANDSET</t>
  </si>
  <si>
    <t>2YTC2B52139097</t>
  </si>
  <si>
    <t>CCSO, WOULD LIKE TO REQUEST THESE ROUTERS FOR THE PURPOSE OF MAKING SIGNS AND DIAGRAMS FOR OUR OFFICE AND RANGE FACILITIES, THANK YOU</t>
  </si>
  <si>
    <t>2YTC2B52139626</t>
  </si>
  <si>
    <t>JUSTIFICATION - LESO will not approve any night vision devices or optics with condition code H without the requesting LEA stating they have contacted the site to confirm and accept the condition.</t>
  </si>
  <si>
    <t>CCSO, WOULD LIKE TO REQUEST THIS SCOPE IF IN GOOD WORKING CONDITION FOR USE BY OUR PMO-SNIPERS, OPERATING IN A MOUNTAINOUS RURAL ENVIRONMENT, NIGHT VISION IS A FORCE MULTIPLIER.
THANK YOU</t>
  </si>
  <si>
    <t>2YTC2B52209730</t>
  </si>
  <si>
    <t>2YTC2B52209728</t>
  </si>
  <si>
    <t>2YTC2B52209727</t>
  </si>
  <si>
    <t>2YTC2B52209726</t>
  </si>
  <si>
    <t>2YTC2B52209725</t>
  </si>
  <si>
    <t>2YTC2B52209724</t>
  </si>
  <si>
    <t>2YTC2B52209721</t>
  </si>
  <si>
    <t>2YTC2B52209720</t>
  </si>
  <si>
    <t>JUSTIFICATION - the LEA did not contact the Disposition Services site to verify the condition of these computers. The LEA must state in the justification they are willing to accept computers in the condition in which they receive them.</t>
  </si>
  <si>
    <t>SARDINIA POLICE DEPARTMENT, AND THEIR POLICE VEHICLES ARE NOT COMPLETELY EQUIPPED WITH MOBILE DATE COMPUTERS TOUGHBOOK LAPTOPS RESOURCES. MOBILE DATA COMPUTERS ARE ESSENTIAL RESOURCES NEEDED FOR RESPONDING TO CALLS, RELIABILITY, SENDING AND RECEIVING INFORMATION AND DATA CONSTANTLY. WITH LIMITED AND NO ADDITIONAL FUNDING RESOURCES TO PURCHASE THE NEEDED TOUGHBOOK LAPTOPS, RECEIPT OF THE REQUESTED ITEMS WOULD ASSIST, SUSTAIN, AND REDUCE THE OCCURRED COST FOR SARDINIA POLICE DEPARTMENT.</t>
  </si>
  <si>
    <t>2YTKSE52209826</t>
  </si>
  <si>
    <t>CYCLE -- LESO cannot approve requisitions that are in the GSA Cycle.</t>
  </si>
  <si>
    <t>FOR USE BY REQUESTING AGENCY.  WILL BE ISSUED FOR STORAGE OF LAW ENFORCEMENT EQUIPMENT AT MONTESANO POLICE DEPARTMENT</t>
  </si>
  <si>
    <t>2YTHYA52189983</t>
  </si>
  <si>
    <t>Cancelled as LEA approved a previous DTID # W56YDP42563003V for the same type of item.</t>
  </si>
  <si>
    <t>2YTHQ052209994</t>
  </si>
  <si>
    <t>Cancelled as the LEA has a pending recipt over 30 days.</t>
  </si>
  <si>
    <t>THE CLARKE COUNTY SHERIFF'S OFFICE WOULD LIKE TO ACQUIRE THIS EQUIPMENT TO BE ISSUED TO OUR OFFICERS AND UTILIZED FOR COLD AND INCLEMENT WEATHER CONDITIONS AS A SUPPLEMENT TO THEIR UNIFORMS</t>
  </si>
  <si>
    <t>SWEATER</t>
  </si>
  <si>
    <t>2YTCFW52279976</t>
  </si>
  <si>
    <t>CANCELLED -- This item has already been awarded to a DOD customer.</t>
  </si>
  <si>
    <t>2YTKSE52200053</t>
  </si>
  <si>
    <t>2YTKSE52200052</t>
  </si>
  <si>
    <t>2YTKSE52200051</t>
  </si>
  <si>
    <t>THE PEA RIDGE POLICE DEPARTMENT WILL USE THIS VEHICLE FOR OUR POLICE UNIT THAT DEALS WITH OUR ELDERLY CITIZENS DURING NATURAL DISASTERS, OR THE FREQUENT WELFARE CHECKS WE CONDUCT TO ENSURE OUR CITIZENS ARE ADEQUATELY TAKEN CARE OF. THIS VEHICLE WILL BE USED FOR LAW ENFORCEMENT PURPOSES ONLY.</t>
  </si>
  <si>
    <t>2YTJGP52209911</t>
  </si>
  <si>
    <t>2YTJGP52209910</t>
  </si>
  <si>
    <t>2YTK1452200012</t>
  </si>
  <si>
    <t>2YTK1452200011</t>
  </si>
  <si>
    <t>JUSTIFICATION - the justification does not indicate that this property will be used for law enforcement purposes.</t>
  </si>
  <si>
    <t>VEHICLE WILL BE USED TO TRANSPORT OFFICERS AND CIVILIANS DURING DIFFERENT TYPES OF EVENTS WITHIN OUR COMMUNITY.</t>
  </si>
  <si>
    <t>2YTC3B52270504</t>
  </si>
  <si>
    <t>CYCLE - LESO is unable to requisition while property is in the GSA cycle</t>
  </si>
  <si>
    <t>FIRST AID KIT,UNIVERSAL WILL BE USED BY ALASKA STATE TROOPERS AS AUXILIARY FIRST AID SUPPLIES IN PATROL VEHICLES FOR RESPONDING TO VEHICULAR ACCIDENTS, SERIOUS ASSAULTS, AND SUICIDE INTERVENTIONS AND AS SUPPLEMENTAL IFAK SUPPLIES FOR OFFICER INVOLVED SHOOTINGS, ACTIVE SHOOTER EVENTS, AND MASS CASUALTY EVENTS.</t>
  </si>
  <si>
    <t>2YTPEJ52068524</t>
  </si>
  <si>
    <t>JUSTIFICATION - LEA already has similar property on their property book</t>
  </si>
  <si>
    <t>UNIT WILL BE USED BY GC PARK RANGERS FOR PATROL AND SURVEILLANCE THROUGH OUT THE 11,000 ACRES OF PARK LANDS.</t>
  </si>
  <si>
    <t>2YTPEQ52270315</t>
  </si>
  <si>
    <t>ALLOCATION LIMIT - another requisition of 3 was previously approved</t>
  </si>
  <si>
    <t>ALPENA COUNTY SHERIFFS DEPARTMENT   TO BE USED IN THE EVENT OF A POWER OUTAGE</t>
  </si>
  <si>
    <t>2YTAG352340624</t>
  </si>
  <si>
    <t>2YTAG352340591</t>
  </si>
  <si>
    <t>THE SCOTLAND COUNTY SHERIFF'S OFFICE IS LOOKING TO OBTAIN THE ITEMS TO ASSIST DEPUTIES STAY HYDRATED DURING SEARCH AND RESCUE OR TACTICAL OPERATIONS.</t>
  </si>
  <si>
    <t>CARRIER HYDRATION S</t>
  </si>
  <si>
    <t>2YTKUK52260564</t>
  </si>
  <si>
    <t>REQUESTING AGENCY NEEDS THIS EQUIPMENT.  FOR USE BY REQUESTING AGENCY FOR STORAGE AND TRANSPORTATION OF SENSITIVE EQUIPMENT.  WILL BE USED FOR LAW ENFORCEMENT PURPOSES ONLY.</t>
  </si>
  <si>
    <t>2YTHYA52270574</t>
  </si>
  <si>
    <t>WILL BE USED BY THE NEGOTIATORS TO STORE AND ORGANIZE THEIR EQUIPMENT FOR QUICK RESPONSE IN AN EMERGENCY SITUATION</t>
  </si>
  <si>
    <t>2YTLK552270674</t>
  </si>
  <si>
    <t>WILL BE USED IN THE WEIGHT ROOM SO THAT THE DEPUTIES CAN WORK OUT</t>
  </si>
  <si>
    <t>ATHLETIC AND SPORTING EQUIPMENT</t>
  </si>
  <si>
    <t>DSATHSPOR</t>
  </si>
  <si>
    <t>2YTLK552270673</t>
  </si>
  <si>
    <t>WILL BE USED TO TRANSPORT PATROL DEPUTIES EQUIPMENT FROM THEIRS CAR TO CRUISER</t>
  </si>
  <si>
    <t>2YTLK552270671</t>
  </si>
  <si>
    <t>JUSTIFICATION:  Property has already been awarded to another agency, but the justification in this request does not match the property.  These are Electronic Tool Kits and the justification says the LEA wants to use them for storage of equipment.</t>
  </si>
  <si>
    <t>LOCHBUIE PD IS A SMALL AGENCY WITH A LIMITED BUDGET. THESE TOOLBOXES WILL HELP PROVIDE OUR OFFICERS A PLACE TO SAFELY SECURE THEIR EQUIPMENT. WE WOULD USE THEM DAILY IN OUR POLICE DEPARTMENT.</t>
  </si>
  <si>
    <t>2YTGVE52411101</t>
  </si>
  <si>
    <t>CYCLE:  Property is in the GSA Cycle and cannot be approved for LESO customers in this cycle.</t>
  </si>
  <si>
    <t xml:space="preserve">FEDERAL SCREENER FOR DIVISION WITH 200 LAW ENFORCEMENT AGENTS TO INCLUDE 19 SWAT OPERATORS.  FBI JURISDICTION FOR ALL OF NORTH CAROLINA.  CASES WILL BE USED TO TRANSPORT AND STORE RIFLES, SENSITIVE ITEMS AND EQUIPMENT FOR SWAT.
</t>
  </si>
  <si>
    <t>CASE,SMALL ARMS</t>
  </si>
  <si>
    <t>2YTQY152340670</t>
  </si>
  <si>
    <t xml:space="preserve">FEDERAL SCREENER FOR DIVISION WITH 200 LAW ENFORCEMENT AGENTS TO INCLUDE 19 SWAT OPERATORS.  THESE WILL BE USED FOR SURVEILLANCE AND EVIDENCE COLLECTION.
</t>
  </si>
  <si>
    <t>2YTQY152340666</t>
  </si>
  <si>
    <t>2YTQY152340665</t>
  </si>
  <si>
    <t xml:space="preserve">FEDERAL SCREENER FOR DIVISION WITH 200 LAW ENFORCEMENT AGENTS TO INCLUDE 19 SWAT OPERATORS.  THESE WILL BE USED BY SNIPERS FOR RURAL OPERATIONS TO CARRY NECESSARY GEAR AND EQUIPMENT.  IT IS NOT AN ARMOR CARRIER.
</t>
  </si>
  <si>
    <t>VEST,SURVIVAL</t>
  </si>
  <si>
    <t>2YTQY152340648</t>
  </si>
  <si>
    <t>CYCLE - LEAs cannot requisition property outside of the DOD and RTD2 cycles. This item is in the GSA cycle.</t>
  </si>
  <si>
    <t>THIS UNIT WOULD ASSIST IN SHIPPING AND STORING LAW ENFORCEMENT MATERIALS.  WE HAVE 250 SWORN OFFICERS AND THERE A LOT OF GEAR COMING IN AND GOING OUT TO DIFFERENT VENDORS.</t>
  </si>
  <si>
    <t>2YTGAF52341163</t>
  </si>
  <si>
    <t>CYCLE:  Property is in the GSA Cycle and cannot be approved for LESO customers.</t>
  </si>
  <si>
    <t>MOULTON POLICE WOULD LIKE TO ACQUIRE THIS ITEM TO BE PUT INTO USE FOR SPECIAL EVENTS AND FOR PARK PATROL, AS WE HAVE LARGE PARK AREAS THAT NEED TO BE PATROLLED AND NOT ACCESSIBLE BY A REGULAR PATROL VEHICLE.</t>
  </si>
  <si>
    <t>2YTQP852341270</t>
  </si>
  <si>
    <t>THE MCFARLAND POLICE DEPARTMENT REQUIRES A TOOLBOX TO STORE VARIOUS TOOL IN. THE BOX WILL HOUSE ARMORER TOOLS USED TO MAINTAIN FIREARMS AND OTHER EQUIPMENT.</t>
  </si>
  <si>
    <t>2YTHG152341276</t>
  </si>
  <si>
    <t>MCFARLAND PD (2YTHG1)</t>
  </si>
  <si>
    <t>CYCLE - this property is located in Okinawa. The LEA did not indicate they are willing to pay for the shipping from Okinawa.</t>
  </si>
  <si>
    <t>OUR AGENCY NEEDS THIS EQUIPMENT. FOR USE BY REQUESTING AGENCY FOR LAW ENFORCEMENT PURPOSES ONLY. THIS EQUIPMENT WILL BE ISSUED TO POLICE SNIPER UNIT IN SUPPORT OF SWAT OPERATIONS, TO INCLUDE HIGH RISK WARRANT SERVICES AND NARCOTIC ENFORCEMENT OPERATIONS.</t>
  </si>
  <si>
    <t>2YTHYA52421352</t>
  </si>
  <si>
    <t>2YTHYA52421351</t>
  </si>
  <si>
    <t>Rejected by S9D4445.  Comments: LESO customers can't requisition property in GSA cycle..</t>
  </si>
  <si>
    <t>2YTSXU52340522</t>
  </si>
  <si>
    <t>CYCLE - LESO participants can not use the GSA cycle to requisition property</t>
  </si>
  <si>
    <t>THIS JACKET WILL BE ISSUED TO AGENTS WHO DEPLOY WITH FEMA AS PART OF OUR ESF TEAM, GOING TO DISASTER AREAS.</t>
  </si>
  <si>
    <t>2YTSXU52340519</t>
  </si>
  <si>
    <t>2YTSXU52270525</t>
  </si>
  <si>
    <t>THESE JACKETS WILL BE ISSUED TO AGENTS WHO DEPLOY WITH FEMA AS PART OF OUR ESF TEAM, GOING TO DISASTER AREAS.</t>
  </si>
  <si>
    <t>2YTSXU52270524</t>
  </si>
  <si>
    <t>THESE BOOTS WILL BE ISSUED TO AGENTS WHO ARE PART OF OUR ESF 13 TEAM THAT DEPLOYS WITH FEMA</t>
  </si>
  <si>
    <t>2YTSXU52270071</t>
  </si>
  <si>
    <t>2YTSXU52320935</t>
  </si>
  <si>
    <t>2YTSXU52320933</t>
  </si>
  <si>
    <t>2YTSXU52320932</t>
  </si>
  <si>
    <t>THE DEA IS DEVELOPING A TACTICAL TEAM OF AGENTS THAT CAN SERVE SUBPOENAS TO AMERICANS WORST ACCUSED IN ALL TYPES OF ENVIRONMENTS AND CONDITIONS. THIS EQUIPMENT WILL GIVE THE AGENTS AN ADVANTAGE TO BETTER ENABLE THEM TO COMPLETE THE OPERATION SAFETY AND HELP ALL TO COME HOME AT THE END OF THE DAY. LEA HAS CONFIRMED THE SITE HAS BEEN CONTACTED AND ACCEPTED CONDITION OF PROPERTY</t>
  </si>
  <si>
    <t>2YTRTP52341126</t>
  </si>
  <si>
    <t>ALLOCATION - the Lake CSO has been approved for 500 in a different requisition. For the purpose of fair and equitable distribution to other LEAs this requisition is canceled.</t>
  </si>
  <si>
    <t>2YTGE452481570</t>
  </si>
  <si>
    <t>2YTGE452481569</t>
  </si>
  <si>
    <t>2YTGE452481568</t>
  </si>
  <si>
    <t>2YTGE452481567</t>
  </si>
  <si>
    <t>Rejected by S9D4445.  Comments: Property in GSA cycle, LESO can't approve GSA cycle property..</t>
  </si>
  <si>
    <t>2YTMGW52340456</t>
  </si>
  <si>
    <t>2YTMGW52340888</t>
  </si>
  <si>
    <t>BACKPACK FRAMES FOR CARRYING ODD SIZE LOADS.  WILL BE USED BY SHERIFF'S OFFICE TACTICAL TEAMS FOR CARRYING SAWS ETC.</t>
  </si>
  <si>
    <t>2YTF7N52391634</t>
  </si>
  <si>
    <t>OUR AGENCY NEEDS THIS EQUIPMENT. WILL BE USED BY REQUESTING AGENCY FOR LAW ENFORCEMENT PURPOSES ONLY. WILL BE ISSUED TO PATROL - SWAT OFFICERS TO IMPROVE NIGHT VISION CAPABILITIES. WILL PAY COSTS FOR SHIPPING IF THIS REQUISITION IS APPROVED.</t>
  </si>
  <si>
    <t>2YTHYA52551911</t>
  </si>
  <si>
    <t>THE HOWELL COUNTY SHERIFF'S OFFICE IS A LAW ENFORCEMENT AGENCY.??THESE NIGHT VISION DEVICES WOULD REPLACE UNITS WE CURRENTLY HAVE BUT ARE UNUSABLE. THESE WOULD FILL A NEED FOR LOW LIGHT AND NO LIGHT NAVIGATION DURING EMERGENCIES LIKE NATURAL DISASTERS, MISSING PERSONS CASES, FUGITIVE APPREHENSION, AND OTHER CRISES. THESE UNITS WOULD ENHANCE HCSO'S CAPABILITIES AND BENEFIT NOT ONLY HOWELL COUNTY BUT ALSO SURROUNDING AREAS RELYING ON HCSO FOR MUTUAL AID IN EMERGENCY RESPONSE.</t>
  </si>
  <si>
    <t>2YTFKX52551958</t>
  </si>
  <si>
    <t>CANCELLED: At this time the LESO will not approve any Night Vision Devices or Optics that have been turned in by a LESO customer meaning DTIDs that start with 2YT OR with a condition code of F, G, or H without the acknowledgement from the requesting agency stating they have contacted the site where the property is located to CONFIRM and ACCEPT condition of night vision devices and or optics.  Confirm and accept statements need to be in the justification comment box.</t>
  </si>
  <si>
    <t>WILL ENHANCE OFFICER SAFETY AND EFFECTIVENESS DURING DISASTER RESPONSES, ACTIVE SHOOTER SITUATIONS, AND SEARCH AND RESCUE MISSIONS. SUPPORTING OUR AGENCY'S MISSION TO PROTECT THE PUBLIC AND RESPOND TO INCIDENTS IN LOW OR NO LIGHT VISIBILITY SITUATIONS.</t>
  </si>
  <si>
    <t>2YTMY852551909</t>
  </si>
  <si>
    <t>CYCLE - LESO participants may only requisition property during the DOD and RTD2 cycles.</t>
  </si>
  <si>
    <t>THIS TRUCK WILL BE USED BY MEMBERS OF THE YONKERS POLICE DEPARTMENT TO MOVE OFFICERS AND EQUIPMENT DURING EMERGENCIES AND LARGE SCALES EVENTS</t>
  </si>
  <si>
    <t>2YTNZL52482235</t>
  </si>
  <si>
    <t>YONKERS POLICE DEPT (2YTNZL)</t>
  </si>
  <si>
    <t>CYCLE - LESO participants cannot requisition property outside of the DOD and RTD2 cycles.</t>
  </si>
  <si>
    <t>WILL BE USED BY THIS LAW ENFORCEMENT AGENCY FOR MAINTENANCE AT THE RANGE AND OFFICE FOR LAW ENFORCEMENT USE ONLY</t>
  </si>
  <si>
    <t>2YT0KL52482226</t>
  </si>
  <si>
    <t>MCDOWELL COUNTY SHERIFF'S OFFICE (2YT0KL)</t>
  </si>
  <si>
    <t>2YTHYA52542670</t>
  </si>
  <si>
    <t>JUSTIFICATION - Fire fighting is not a law enforcement use. Property available via the LESO Program must be used for law enforcement purposes.</t>
  </si>
  <si>
    <t>CCSO, WOULD LIKE TO REQUEST THIS FIRE TRUCK FOR THE PURPOSE OF USING AT OUR PUBLIC AIRPORT, THE SHERIFF IS THE FIRE MARSHAL AND RESPONSIBLE FOR THE SAFETY AND FIRE OPERATIONS OF OUR COUNTY. OUR AIRPORT IS AN EMERGENCY LANDING STRIP FOR AIRCRAFT COMING OVER THE SANGRE MOUNTAIN RANGE WITH THE ABILITY TO LAND JET AIRCRAFT DUE TO ITS EXTENDED LENGHT.</t>
  </si>
  <si>
    <t>2YTC2B52622652</t>
  </si>
  <si>
    <t>2YTRQQ52622589</t>
  </si>
  <si>
    <t>FOR USE BY SWAT AND LEO FOR HIGH RISK OPERATIONS INCLUDING ACTIVE SHOOTER SCENARIOS AND, OR HOSTAGE RESCUE SCENARIOS.</t>
  </si>
  <si>
    <t>2YTSZX52632633</t>
  </si>
  <si>
    <t>Cancelled:  LESO HQ is unable to approve your request for property.  There is no station user assigned in FEPMIS.  Please submit a new LESO application.</t>
  </si>
  <si>
    <t>FOR USE BY SWAT AND LEO FOR HIGH RISK OPERATIONS INCLUDING ACTIVE SHOOTER AND, OR HOSTAGE RESCUE SCENARIOS.</t>
  </si>
  <si>
    <t>2YTSZX52552634</t>
  </si>
  <si>
    <t>Vehicle is NOT armored. TVS AN</t>
  </si>
  <si>
    <t>THE POCATELLO POLICE DEPARTMENT'S IMMEDIATE ACTION UNIT NEEDS AN ARMORED HMMWV TO IMPROVE RESPONSE CAPABILITIES.  OUT CURRENT MRAP IS TOO LARGE FOR NARROW, HISTORIC CITY STREETS AND IS DIFFICULT TO USE IN RESCUES DUE TO IT'S HEIGHT.  A SMALLER, MORE MANEUVERABLE ARMORED VEHICLE WOULD ALLOW US TO BETTER PROTECT CIVILIANS AND OFFICERS, ASSIST PARTNER AGENCIES LACKING RESOURCES, AND IMPROVE PUBLIC SAFETY ACROSS SOUTHEASTERN IDAHO.</t>
  </si>
  <si>
    <t>2YTJRX52622538</t>
  </si>
  <si>
    <t>POCATELLO POLICE DEPT (2YTJRX)</t>
  </si>
  <si>
    <t>RCSO NEEDS THIS EQUIPMENT FOR SURVIELLANCE WHEREBY THE VEHICLE CAN BE CUSTOMIZED AND EQUIPPED WITH TECHNOLOGY TO CONDUCT OBSERVATION AND MONITORING, BOTH IN A DISCREET AND AN OBVIOUS MANNER.  THE RCSO DOES NOT HAVE SUCH EQUIPMENT AND IS CRITIAL TO MISSION READINESS AND SUCCESS.</t>
  </si>
  <si>
    <t>2YTJ7852552770</t>
  </si>
  <si>
    <t>SO SUPERVISORS AND THE SRT COMMANDER CAN HAVE A SMALL COMPUTER THAT THEY CAN HAVE SCHOOL FLOOR PLANS AND OTHER FLOOR PLANS OF BUILDINGS LOADED IN CASE OF AN ACTIVE SHOOTER OR SCHOOL SHOOTING.</t>
  </si>
  <si>
    <t>2YTHJZ52552777</t>
  </si>
  <si>
    <t>SO OFFICERS CAN HAVE WET WEATHER GEAR IN CASE THEY HAVE TO SECURE A SCENE OUTSIDE DURING A STANDOFF, ACTIVE SHOOTER OR OTHER LAW ENFORCEMENT ENCOUNTER DURING RAIN OR INCLEMENT WEATHER</t>
  </si>
  <si>
    <t>2YTHJZ52552775</t>
  </si>
  <si>
    <t>THESE WOULD BE USED FOR OUR AGENCY SWAT TEAM AS WE DO NOT YET HAVE NIGHT VISION CAPABILITIES.</t>
  </si>
  <si>
    <t>2YTDSG52692999</t>
  </si>
  <si>
    <t>SPRING HOPE PD NEEDS THIS EQUIPMENT FOR SEARCH AND RESCUE OPERATIONS DISASTER RELATED PREPAREDNESS AND RESPONSE TO REPAIR AND MAINTAIN SURVEILLANCE EQUIPMENT USED BY LAW ENFORCEMENT TO ENSURE CITIZEN SAFETY AND SECURITY DURING OPERATIONS REQUIRING ELEVATED MAINTENANCE AND VISIBILITY</t>
  </si>
  <si>
    <t>2YTLDC52693202</t>
  </si>
  <si>
    <t>SPRING HOPE PD (2YTLDC)</t>
  </si>
  <si>
    <t>PENDING RECEIPT: LEA has pending receipt over 30 days</t>
  </si>
  <si>
    <t>WEBB PD WILL USE FOR POLICE DEPT YARD MAINTENANCE.</t>
  </si>
  <si>
    <t>2YTRL452693068</t>
  </si>
  <si>
    <t>PENDING RECEIPT: LEA  has a pending receipt over 30 days</t>
  </si>
  <si>
    <t>WEBB PD WILL USE FOR IN CLASSROOM TRAINING. NOTIFYING OFFICERS OF IMPORTANT NEEDS, REQUESTS, ON DUTY ASSIGNMENTS.</t>
  </si>
  <si>
    <t>BOARD</t>
  </si>
  <si>
    <t>DSBOARD02</t>
  </si>
  <si>
    <t>2YTRL452693055</t>
  </si>
  <si>
    <t>RIVER BEND POLICE DEPARTMENT NEEDS THIS EQUIPMENT FOR COUNTER-DRUG OPERATIONS. THIS VEHICLE WILL BE USED FOR SEARCH WARRANTS ON SUSPECTED DRUG HOUSES. THE ARMOR OF THIS VEHICLE PROVIDES COVER FOR OFFICERS APPROACHING THE RESIDENCE. IN ADDITION, THE RIVER BEND POLICE DEPARTMENT NEEDS THIS VEHICLE FOR SEARCH AND RESCUE OPERATIONS DURING HURRICANES. THE VEHICLE IS ABLE TO TREAD WATER WHICH ALLOW OFFICERS TO EVACUATE CITIZENS TRAPPED BY FLOOD WATERS</t>
  </si>
  <si>
    <t>2YTSZH52623148</t>
  </si>
  <si>
    <t>THESE  UNITS WILL BE HELD AND USED BY THE WARRINGTON TOWNSHIP TACTICAL TEAM. THIS WILL ENHANCE OFFICER, SUSPECT AND CIVILIAN SAFETY BY ALLOWING THE OFFICERS TO WORK IN LOW LIGHT SITUATIONS, IMPROVING SITUATIONAL AWARENESS. ALLOW OFFICERS TO LOCATE SUBJECTS, MISSING PERSONS AND HAZARDS IN LOW LIGHT MINIMIZING THE RISK TO THE COMMUNITY.</t>
  </si>
  <si>
    <t>2YTM8V52693387</t>
  </si>
  <si>
    <t>Hard drive remove and system is missing other key componets.</t>
  </si>
  <si>
    <t>FOR ASSISTANCE IN LAW ENFORCEMENT ACTIVITIES USED TO ENHANCE OFFICER SAFETY AS A FORCE MULTIPLIER IN A SMALL AGENCY. THIS WILL ALSO BE USED TO SUPPORT SEARCH AND RESCUE IN A RURAL MONTANA COUNTY.</t>
  </si>
  <si>
    <t>2YTJK252693269</t>
  </si>
  <si>
    <t>Armored. LEA requests cancel. TVS AN</t>
  </si>
  <si>
    <t>SAN JOAQUIN SO IS REQUESTING THIS ITEM TO BE USED AS A HIGH WATER RESCUE VEHICLE IN FLOOD EMERGENCIES. THIS WILL BE USED SOLELY FOR RESCUE OPERATIONS BY LAW ENFORCEMENT PERSONNEL AND WILL BE STORED IN A SECURED FACILITY WITHIN THE SHERIFFS OFFICE.</t>
  </si>
  <si>
    <t>2YTK0952693471</t>
  </si>
  <si>
    <t>CYCLE.  Item is in the GSA Cycle and cannot be approved for LESO customers during this cycle.</t>
  </si>
  <si>
    <t>THE SCOTLAND COUNTY SHERIFF'S OFFICE WOULD LIKE TO REQUEST THE LISTED ITEMS TO ASSIST WITH SEARCH AND RESCUE OPERATIONS CONDUCTED BY THE SHERIFF'S OFFICE.  THESE ITEMS WILL ASSIST DEPUTIES TO BE BETTER PREPARED FOR EXTENDED SEARCH AND RESCUE OPERATIONS.</t>
  </si>
  <si>
    <t>2YTKUK52613356</t>
  </si>
  <si>
    <t>CANCELLED: At this time the LESO will not approve any Night Vision Devices or Optics that have been turned in by a LESO customer meaning DTIDs that start with 2YT OR with a condition code of F, G, or H without the acknowledgement from the requesting agency stating they have contacted the site where the property is located to CONFIRM and ACCEPT condition of night vision devices and or optics.  Confirm and accept statement needs to be in the justification comment box</t>
  </si>
  <si>
    <t>THESE WOULD BE USED TO SUPPORT NV CAPABILITIES OF MY SWAT TEAM ON MY AGENCY THAT HAS 25 MEMBERS. WE DO NOT YET HAVE NV.</t>
  </si>
  <si>
    <t>2YTDSG52763762</t>
  </si>
  <si>
    <t>TO BE USED AT POSTS FOR SECURITY AND POSSIBLY INTERVIEW ROOMS IF THE CAMERAS HAVE AUDIO CAPABILITIES.</t>
  </si>
  <si>
    <t>2YTPEJ52572039</t>
  </si>
  <si>
    <t>2YTFXU52763921</t>
  </si>
  <si>
    <t>CANCELLED: At this time the LESO will not approve any Night Vision Devices or Optics that have been turned in by a LESO customer meaning DTIDs that start with 2YT OR with a condition code of F, G, or H without the acknowledgement from the requesting agency stating they have contacted the site where the property is located to CONFIRM and ACCEPT condition of night vision devices and or optics.  Confirm and accept statements need to be in the justification comment box</t>
  </si>
  <si>
    <t>FOR USE BY LEO AND SWAT FOR HIGH RISK INCIDENTS SUCH AS HOSTAGE RESCUE AND ACTIVE SHOOTER AND ANY OTHER CRITICAL EMERGENCIES.</t>
  </si>
  <si>
    <t>2YTSZX52693632</t>
  </si>
  <si>
    <t>FOR USE BY LEO AND SWAT FOR HIGH RISK OPERATIONS SUCH AS HOSTAGE RESCUE AND ACTIVE SHOOTER EVENTS AND ANY OTHER CRITICAL INCIDENTS. OUR AGENCY HAS MULTIPLE CONCERT VENUES, MOVIE THEATERS, CASINOS, AND NUMEROUS SCHOOLS WITHIN OUR DISTRICTS WHICH WE SEEK TO PROVIDE SECURITY FOR. .</t>
  </si>
  <si>
    <t>2YTSZX52764007</t>
  </si>
  <si>
    <t>FOR USE BY LEO AND SWAT FOR HIGH RISK OPERATIONS SUCH AS HOSTAGE RESCUE AND ACTIVE SHOOTER EVENTS AND ANY OTHER CRITICAL INCIDENTS. OUR AGENCY HAS MULTIPLE CONCERT VENUES, MOVIE THEATERS, CASINOS, AND NUMEROUS SCHOOLS WITHIN OUR DISTRICTS WHICH WE SEEK TO PROVIDE SECURITY FOR.</t>
  </si>
  <si>
    <t>2YTSZX52764005</t>
  </si>
  <si>
    <t>CYCLE - LESO participants may not requisition property outside of the DOD and RTD2 cycles</t>
  </si>
  <si>
    <t>THE TOWNSEND POLICE DEPARTMENT WOULD USE THIS CABINET IN ONE OF OUR POLICE ADMINISTRATOR'S OFFICE</t>
  </si>
  <si>
    <t>2YTRSG52674342</t>
  </si>
  <si>
    <t>CANCELLED At this time the LESO will not approve any Night Vision Devices or Optics that have been turned in by a LESO customer meaning DTIDs that start with 2YT OR with a condition code of F, G, or H without the acknowledgement from the requesting agency stating they have contacted the site where the property is located to CONFIRM and ACCEPT condition of night vision devices and or optics.  Confirm and accept statements need to be in the justification comment box.</t>
  </si>
  <si>
    <t>THE NORMANDY POLICE DEPARTMENT REQUESTS THESE NIGH VISION GOGGLES TO ASSIST OFFICERS IN THEIR RESPONSE TO NATURAL DISASTERS, INCIDENTS OF CIVIL UNREST, SEARCH AND RESCUE MISSION, THE SERVICE OF HIGH RISK NARCOTICS SEARCH WARRANTS, AND APPREHENDING SUBJECTS EVADING ARREST.</t>
  </si>
  <si>
    <t>2YT0M452764357</t>
  </si>
  <si>
    <t>LEA has over due receipts that are over 30 days. Please receipt for the property and resubmit this request.</t>
  </si>
  <si>
    <t>GENERATOR SET WILL BE USED BY SWORN LAW ENFORCEMENT OFFICERS TO SUPPORT CRIME SCENE AND FATAL ACCIDENT INVESTIGATIONS AS A POWER SOURCE FOR EXTERNAL LIGHTING AND OTHER EQUIPMENT.</t>
  </si>
  <si>
    <t>2YTN1M52764424</t>
  </si>
  <si>
    <t>GSA Cycle</t>
  </si>
  <si>
    <t xml:space="preserve">FEDERAL SCREENER FOR DIVISION WITH 200 LAW ENFORCEMENT AGENTS TO INCLUDE 19 SWAT OPERATORS.  THESE WILL BE USED FOR DETAINMENT ON LARGE SCALE ARREST OPERATIONS.
</t>
  </si>
  <si>
    <t>BG</t>
  </si>
  <si>
    <t>STRAP,INVOLUNTARY,R</t>
  </si>
  <si>
    <t>2YTQY152694104</t>
  </si>
  <si>
    <t>THE OZARK COUNTY SHERIFFS OFFICE RESPECTFULLY REQUESTS NIGHT VISION GOGGLES TO ENHANCE OFFICER SAFETY AND EFFECTIVENESS. NVGS WILL IMPROVE VISIBILITY IN LOW LIGHT CONDITIONS, AIDING IN SEARCHES, SURVEILLANCE, AND SUSPECT APPREHENSION. THIS EQUIPMENT WILL BE A VITAL ASSET TO LAW ENFORCEMENT, INCREASING OFFICER SAFETY AND STRENGTHENING OUR ABILITY TO PROTECT THE COMMUNITY.</t>
  </si>
  <si>
    <t>2YT19C52764622</t>
  </si>
  <si>
    <t>MY SWAT TEAM IS SEEKING NIGHT VISION CAPABILITIES AND HAS NONE AS OF NOW. WOULD LIKE TO ACQUIRE THESE TO SUPPORT OUR CAPABILITIES.</t>
  </si>
  <si>
    <t>2YTDSG52834603</t>
  </si>
  <si>
    <t>UAH has FRAG KIT. LEAs not authorized</t>
  </si>
  <si>
    <t>RCSO NEEDS THIS VEHICLE FOR COUNTER DRUG, COUNTER TERRORISM, DISASTER RELATED EMERGENCIES AND RESCUE OPERATIONS.  THE VEHICLE WOULD BE USED TO SUPPLEMENT THE CURRENT LACK OF SUCH EQUIPMENT IN THE AGENCIES FLEET AND WOULD HELP MAINTAIN A HIGH DEGREE OF READINESS AND CAPABILITY SHOULD THE NEED FOR SUCH EQUIPMENT ARISE.</t>
  </si>
  <si>
    <t>2YTJ7852834657</t>
  </si>
  <si>
    <t>NEED NIGHT VISION TO SUPPORT MY SWAT TEAM OPERATORS. WE DO NOT HAVE NIGHT VISION AS OF YET.</t>
  </si>
  <si>
    <t>2YTDSG52834662</t>
  </si>
  <si>
    <t>2YTDSG52764661</t>
  </si>
  <si>
    <t>THE HOWELL COUNTY SHERIFF'S OFFICE IS A LAW ENFORCEMENT AGENCY.?? THESE NIGHT VISION DEVICES WOULD FILL A NEED FOR LOW LIGHT AND NO LIGHT NAVIGATION DURING EMERGENCIES LIKE NATURAL DISASTERS, MISSING PERSONS CASES, FUGITIVE APPREHENSION, AND OTHER CRISES. THESE UNITS WOULD ENHANCE HCSO'S CAPABILITIES AND BENEFIT NOT ONLY HOWELL COUNTY BUT ALSO SURROUNDING AREAS RELYING ON HCSO FOR MUTUAL AID IN EMERGENCY RESPONSE.</t>
  </si>
  <si>
    <t>2YTFKX52834678</t>
  </si>
  <si>
    <t>2YTFKX52764677</t>
  </si>
  <si>
    <t>FOR USE BY LEA IN LAW ENFORCEMENT SURVEILLANCE APPLICATIONS</t>
  </si>
  <si>
    <t>TELESCOPE,STRAIGHT</t>
  </si>
  <si>
    <t>2YTMPA51927706</t>
  </si>
  <si>
    <t>LEA</t>
  </si>
  <si>
    <t>LIGHT SET,STOP LIGH</t>
  </si>
  <si>
    <t>2YTKSE51927779</t>
  </si>
  <si>
    <t>FOR USE BY POLICE OFFICERS FOR THEMSELVES, THEIR PARTNERS, AND THE CITIZENS OF THE COMMUNITY TO HELP SAVE LIVES.</t>
  </si>
  <si>
    <t>2YTEC851877747</t>
  </si>
  <si>
    <t>TO ASSIST IN THE SEARCH FOR MISSING PEARSONS IN REMOTE AND HARD TO REACH AREAS.</t>
  </si>
  <si>
    <t>2YTBCH51997914</t>
  </si>
  <si>
    <t>2YTHDF51928005</t>
  </si>
  <si>
    <t>2YTHYP51998098</t>
  </si>
  <si>
    <t>2YTRGK52068474</t>
  </si>
  <si>
    <t>THE ERIN POLICE DEPARTMENT WOULD LIKE TO ACQUIRE THIS VEHICLE TO CONVERT INTO A MOBILE COMMAND CENTER FOR USE BY OFFICERS FOR CRIME SCENES, AND EMERGENCIES</t>
  </si>
  <si>
    <t>2YTDT951998576</t>
  </si>
  <si>
    <t>THE ASSET WILL BE USED BY THE POLK COUNTY SHERIFF'S OFFICE FOR PLACING SURVEILLANCE CAMERAS AROUND THE COUNTY FOR INVESTIGATION PURPOSES. THE ASSET WILL ALSO BE USED DURING NATURAL DIESTERS FOR CLEARING TREE DEBRIS FROM RESIDENTIAL HOUSING.</t>
  </si>
  <si>
    <t>2YTJS052138751</t>
  </si>
  <si>
    <t>SCSO NEEDS EQUIPMENT FOR SEARCH AND RESCUE OPERATIONS TO INSURE PROPER HYDRATION OF LE PERSONNEL RESPONDING TO THESE TYPES OF MISSIONS</t>
  </si>
  <si>
    <t>2YTKUK52048980</t>
  </si>
  <si>
    <t>SPARTA PD NEEDS THIS TRUCK FOR DISASTER RELATED EMERGENCY RESPONSE-PREPARDNESS AND SEARCH AND RESCUE OPERATIONS TO TRANSPORT CRITICAL SUPPLIES AND EQUIPMENT FOR OPERATIONS.</t>
  </si>
  <si>
    <t>NO ITEM NAME AVAILABLE</t>
  </si>
  <si>
    <t>2YTLB652059033</t>
  </si>
  <si>
    <t>SPARTA PD (2YTLB6)</t>
  </si>
  <si>
    <t>THIS AGENCY ENGAGES IN TACTICAL OPERATIONS THAT REQUIRE GEAR OF A TACTICAL NATURE.  ANY TACTICAL EQUIPMENT THAT CAN BE OBTAINED THROUGH THE LESO PROGRAM FREES TAX DOLLARS TO BE USED ON OTHER ITEMS THAT MUST BE OBTAINED THROUGH OTHER CHANNELS.</t>
  </si>
  <si>
    <t>2YT0E752139154</t>
  </si>
  <si>
    <t>THIS AGENCY PREFORMS LE OPERATIONS THAT REQUIRE SENSITIVE ITEMS TO BE STORED IN A WAY THAT INSURES BOTH SAFETY AND SECURITY IN HARSH OPERATIONAL ENVIRONMENTS.</t>
  </si>
  <si>
    <t>BOX,ACCESSORIES STO</t>
  </si>
  <si>
    <t>2YT0E752069156</t>
  </si>
  <si>
    <t>THIS AGENCY ENGAGES IN TACTICAL OPERATIONS IN ENVIRONMENTS
THAT REQUIRE ENHANCED VOLUME LEVELS TO COMMUNICATE EFFECTIVELY VIA LE COMMO EQUIPMENT.</t>
  </si>
  <si>
    <t>LOUDSPEAKER,PERMANENT MAGNET</t>
  </si>
  <si>
    <t>2YT0E752069155</t>
  </si>
  <si>
    <t>WE ARE BOAZ POLICE. WE ARE COMING TO PICK UP ITEMS. THIS ITEM WOULD BE BENEFICIAL IN POLICING LOCAL EVENTS. ALLOWING US TO MOVE QUICKLY TO EMERGENCIES WHERE LARGE CROWDS GATHER FOR VARIOUS EVENTS PUT ON BY THE CITY. I CAN ALSO SEE WHERE IT WOULD BE VALUABLE ON OTHER DETAILS, LITTER, AND MOVEMENT OF SUPPLIES AROUND OUR DEPARTMENT. WE COULD ALSO POST THIS IN DRUG INTERDICTION AT LARGE EVENTS WITH BLUE LIGHTS OR NOT. INCREASING OUR FOOTPRINT AND VISIBILITY. THANK YOU FOR YOUR CONSIDERATION.</t>
  </si>
  <si>
    <t>2YTBCH52139304</t>
  </si>
  <si>
    <t>AGENCY HAS AREA OF RESPONSIBILITY APROX 12 MI OF COOSA RIVER A MAJOR WATER WAY IN AL WITH TWO HVT INCLUD I HYDRO GEN PLANT AND ONE STEAM PLANT BOTH ON RIVER.  AGENCY WILL UTIL VESSEL FOR WATER BORNE LE OPS AND PATROL.  ALL EQUIP NESS TO OUTFIT VESSEL ON HAND COMMO EMERG LIGHTING ETC.  NO OTHER LE VESSELS IN IMMED AREA.  THIS AGENCY HAS PERSONNEL AVIL WITH VESSEL MAINT EXPERTISE. AGENCY WILL PROVIDE SALARIES FOR LE WATER PATROL AS NEEDED.</t>
  </si>
  <si>
    <t>2YT0E752069148</t>
  </si>
  <si>
    <t>THESE RADIOS WILL BE USED BY MEMBERS OF THE LEROY POLICE DEPARTMENT ON A DAILY BASIS. THE REQUESTED QUANTITY INCLUDES ADDITIONAL UNITS TO SERVE AS SPARES AND FOR PARTS, ENSURING OPERATIONAL READINESS AND SUPPORT IN EMERGENCY SITUATIONS. OUR AGENCY ACKNOWLEDGES AND ACCEPTS THE RADIOS IN THEIR CURRENT CONDITION OF H.</t>
  </si>
  <si>
    <t>2YTQTD52139348</t>
  </si>
  <si>
    <t>THESE RADIOS WOULD BE USED DAILY BY THE LEROY POLICE DEPARTMENT. ADDITIONAL UNITS WOULD BE SPARES AND ON STANDBY FOR EMERGENCY DEPLOYMENT.</t>
  </si>
  <si>
    <t>2YTQTD52139335</t>
  </si>
  <si>
    <t>THESE RADIOS WILL BE USED BY MEMBERS OF THE LEROY POLICE DEPARTMENT IN THE FIELD. THEY WILL ALSO BE USED AS SPARE UNITS OR EMERGENCY DEPLOYMENT.</t>
  </si>
  <si>
    <t>2YTQTD52139332</t>
  </si>
  <si>
    <t>THESE RADIOS WILL BE USED BY MEMBERS OF THE LEROY POLICE DEPARTMENT DAILY. THE ADDITIONAL UNITS WILL BE USED AS SPARE UNITS AND, OR FOR EMERGENCY DEPLOYMENT IN THE FIELD.</t>
  </si>
  <si>
    <t>2YTQTD52139331</t>
  </si>
  <si>
    <t>THIS FORKLIFT WILL BE USED AT OUR AUTO PROCESSING YARD TO SAFELY AND PROPERLY MOVE EVIDENCE AROUND. THIS WILL PRESERVE THE INTEGRITY OF EVIDENCE, LEADING TO MORE SUCCESSFUL CONVICTIONS AND INCREASING PUBLIC SAFETY</t>
  </si>
  <si>
    <t>2YTF7N52209289</t>
  </si>
  <si>
    <t>THE ACQUISITION OF THESE ILLUMINATORS ENHANCES OFFICER SAFETY AND MISSION EFFECTIVENESS BY IMPROVING VISIBILITY DURING LOW-LIGHT TACTICAL OPERATIONS, SUCH AS HIGH-RISK WARRANT SERVICE AND BARRICADED SUBJECT ENCOUNTERS WHERE TARGET IDENTIFICATION AND SCENE CONTROL ARE PARAMOUNT.</t>
  </si>
  <si>
    <t>2YTPEJ52209403</t>
  </si>
  <si>
    <t>REQUESTED BY NORTH MYRTLE BEACH POLICE DEPARTMENT FOR USE BY NMB POLICE OFFICERS IN AGENCY OFFICES.</t>
  </si>
  <si>
    <t>COMPUTER DESK</t>
  </si>
  <si>
    <t>DSCOMPUT5</t>
  </si>
  <si>
    <t>2YT1PG52279662</t>
  </si>
  <si>
    <t>2YTBCH52279707</t>
  </si>
  <si>
    <t>HWY REFLECTOR SET REQUESTED BY ATLANTIC BEACH PD, FOR USE BY ATLANTIC BEACH PD OFFICERS, TO USE DURING MOTOR VEHICLE COLLISION INVESTIGATIONS.</t>
  </si>
  <si>
    <t>2YTQD952340185</t>
  </si>
  <si>
    <t>THIS ITEM WILL BE USED EXCLUSIVELY BY LEOS FROM THIS LEA. THIS ITEM WILL HELP OFFICERS RESPOND ON THE BEACH FOR MEDICAL CALLS FOR SERVICE, MISSING PERSONS, SWIMMERS IN DISTRESS, AND DISORDERLY PERSONS COMPLAINTS.</t>
  </si>
  <si>
    <t>2YTK2052340274</t>
  </si>
  <si>
    <t>THE FAYETTEVILLE POLICE DEPARTMENT IS COMMITTED TO MAXIMIZING RESOURCES TO ENHANCE PUBLIC SAFETY WHILE REMAINING FISCALLY RESPONSIBLE. ACQUIRING LARGE TOOL BOXES THROUGH EXCESS GOVERNMENT PROPERTY PROGRAMS OFFERS A PRACTICAL AND COST-EFFECTIVE SOLUTION TO SUPPORT OUR OPERATIONS. THESE TOOL BOXES PROVIDE SECURE, ORGANIZED STORAGE FOR ESSENTIAL EQUIPMENT SUCH AS EVIDENCE COLLECTION TOOLS, MAINTENANCE GEAR, AND SPECIALIZED RESPONSE KITS, ENSURING QUICK ACCESSIBILITY DURING CRITICAL INCIDENTS. BY MA</t>
  </si>
  <si>
    <t>2YTD1D52340269</t>
  </si>
  <si>
    <t>THERMAL IMAGING SYSTEMS ENABLE US TO LOCATE SUBJECTS IN LOW-LIGHT OR OBSCURED CONDITIONS DURING SEARCH AND RESCUE OPERATIONS, TRACK SUSPECTS DURING PURSUIT BAILOUTS, AND ENHANCE OFFICER SAFETY BY DETECTING HIDDEN THREATS OR PERSONS IN DIFFICULT TERRAIN, DENSE COVER, OR ADVERSE WEATHER.</t>
  </si>
  <si>
    <t>2YTFKS52270625</t>
  </si>
  <si>
    <t>THIS ITEM WILL BE USED EXCLUSIVELY BY LEOS FROM THIS LEA. THIS ITEM WILL BE USED PRIMARILY AS AN INCIDENT COMMAND CENTER FOR MASS CASUALTY INCIDENTS, ACTIVE SHOOTER INCIDENTS, NATURAL DISASTERS, AND LARGE SCALE COMMUNITY EVENTS.</t>
  </si>
  <si>
    <t>2YTK2052410805</t>
  </si>
  <si>
    <t>2YT15D52410887</t>
  </si>
  <si>
    <t>2YTMGW52410894</t>
  </si>
  <si>
    <t>2YTMGW52410893</t>
  </si>
  <si>
    <t>THE SCOTLAND COUNTY SHERIFF'S OFFICE IS REQUESTING THE LISTED ITEMS TO ASSIST THE AGENCY SWAT TEAM WITH COUNTER-DRUG AND COUNTER-TERRORISM OPERATIONS.</t>
  </si>
  <si>
    <t>2YTKUK52411180</t>
  </si>
  <si>
    <t>2YTBZS52481464</t>
  </si>
  <si>
    <t>THIS WRENCH WOULD BE USED TO SERVICE SHERIFF'S OFFICE EQUIPMENT.</t>
  </si>
  <si>
    <t>SOCKET,WRENCH,FACE</t>
  </si>
  <si>
    <t>2YTGAF52481503</t>
  </si>
  <si>
    <t>FOR USE BY THIS LEA ONLY, THIS EQUIPMENT WOULD BE UTILIZED BY LEO TO RESPONDED TO CALLS FOR SERVICE DURING INCLEMENT WEATHER.</t>
  </si>
  <si>
    <t>2YTCXV52481541</t>
  </si>
  <si>
    <t>CRESSKILL POLICE DEPARTMENT (2YTCXV)</t>
  </si>
  <si>
    <t>THE ITEMS ARE BEING REQUESTED BY THE SLOCOMB POLICE DEPARTMENT TO BE USED BY OFFICERS FOR LAW ENFORCEMENT PURPOSES. THE REQUESTED TAZERS WILL BE UTILIZED BY OFFICERS WHEN INTERACTING WITH NON-COMPLIANCE SUSPECTS WHEN NON-LEATHAL WEAPON IS TO BE USED PER POLICY.</t>
  </si>
  <si>
    <t>2YTK4252481603</t>
  </si>
  <si>
    <t>THE DEA IS CONDUCTING OPERATIONS THROUGHOUT THE WORLD AND NEED TO APPREHEND CRIMINALS WHICH KEEPS THE CITIZENS SAFE IN THEIR OWN COMMUNITIES   LEA HAS CONFIRMED THE SITE HAS BEEN CONTACTED AND ACCEPTED CONDITION OF PROPERTY</t>
  </si>
  <si>
    <t>2YTRTP52411677</t>
  </si>
  <si>
    <t>IF ACQUIRED, THIS UNIT WOULD BE UTILIZED BY THE MASON COUNTY SHERIFF'S OFFICE FOR SEARCH AND RESCUE OPERATIONS TO LOCATE SUBJECTS IN NIGHT TIME SETTINGS. CONDITION WAS VERIFIED BY DS SUSQUEHANNA THAT LENSES ARE INTACT.</t>
  </si>
  <si>
    <t>2YTHD952411725</t>
  </si>
  <si>
    <t>THIS ITEM WILL BE UTILIZED IN CONJUNCTION WITH THE 5.56MM PATROL RIFLES DEPLOYED BY THIS AGENCY.  THIS ITEM WILL BE USED AUGMENT OUR PATROL RIFLE PLATFORM WHILE NOT REQUIRING THE USE OF NORMAL OPERATING BUDGETARY FUNDS.  THIS ITEM WILL BE ISSUED TO PERSONAL AND DOCUMENTED IN ACCORDANCE AS WITH OTHER CONTROLLED PROPERTY.</t>
  </si>
  <si>
    <t>2YT0E752481741</t>
  </si>
  <si>
    <t>THIS ITEM WILL BE UTILIZED BY THIS LE AGENCY TO CONDUCT LE OPERATIONS ON THE APPROX 15 MILES OF COOSA RIVER FOR WHICH THIS AGENCY HAS RESPONSIBILITY. THESE OPERATIONS WILL INCLUDE LE SEARCH AND RESCUE, RIVERINE PATROL, AND MONITORING OF INFRASTRUCTURE HVTS INCLUDING TWO LARGE POWER GENERATION FACILITIES.  THE ONLY OTHER MARINE UNIT IN THE AREA IS THE STATE WATER PATROL WHICH HAS MINIMUM RESOURCES AND A VERY LARGE AREA OF RESPONSIBILITY.</t>
  </si>
  <si>
    <t>2YT0E752472105</t>
  </si>
  <si>
    <t>FOR USE BY THIS LEA ONLY. TO BE USED BY THE LEOS OF THIS AGENCY. THIS SLEEPING BAG WILL BE UTILIZED DURING EMERGENCY RESPONSES, EXTENDED OPERATIONS, AND CRITICAL INCIDENT DEPLOYMENTS TO SUPPORT LAW ENFORCEMENT MISSIONS.</t>
  </si>
  <si>
    <t>2YTEY452552083</t>
  </si>
  <si>
    <t>THE BRISTOL TENNESSEE POLICE DEPARTMENT WOULD UTILIZE THIS OFF ROAD UTILITY VEHICLE IN OUR PARK FOR OFFICERS TO PATROL AND RESPOND TO CALLS FOR SERVICE. THE BASE STATES THIS RUNS AND IS OPERATIONAL.</t>
  </si>
  <si>
    <t>2YTBJQ52622250</t>
  </si>
  <si>
    <t>SWEEPER UNIT WILL BE USED BY THE GREENE COUNTY SHERIFFS DEPARTMENT TO KEEP OUR PARKING LOTS AND DRIVEWAYS CLEAN. THIS RIDING LAWN MOWER HAS A SWEEPER HEAD SO THIS WILL WORK GOOD FOR OUR MAINTENANCE DIVISION.</t>
  </si>
  <si>
    <t>2YTET652622465</t>
  </si>
  <si>
    <t>2YTHYA52552508</t>
  </si>
  <si>
    <t>2YTEY452692791</t>
  </si>
  <si>
    <t>THIS ITEM WILL BE USED BY THIS AGENCY TO PROVIDE RIVERINE LE PATROL ACTIVITIES ON THE APX 12 MILES OF THE COOSA RIVER AOR.  THE AOR ON THE COOSA IS ABUTTED BY TWO HVTS A HYDROELECTRIC GENERATION FACILITY TO THE EAST AND STEAM GENERATION PLANT TO THE WEST. IN ADDITION, THIS RESOURCE WILL BE AVAILABLE FOR REGIONAL RESPONSE WATER RELATED NATURAL DISASTERS. THE COOSA IS USED FOR BOTH RECREATION AND SPORT FISHING IN PEAK SEASON. NO OTHER MARINE RESOURCES IMMED AVAIL IN THE AREA.</t>
  </si>
  <si>
    <t>2YT0E752693065</t>
  </si>
  <si>
    <t>ANY GARBAGE</t>
  </si>
  <si>
    <t>2YTAYB52693430</t>
  </si>
  <si>
    <t>BATH TWP PD (2YTAYB)</t>
  </si>
  <si>
    <t>TEXARKANA PD LAW ENFORCEMENT USE ONLY. LAPTOPS WILL SUPPORT TRAINING AND READINESS BY ENABLING SECURE VIRTUAL INSTRUCTION, SCENARIO SIMULATIONS, EVIDENCE AND INTELLIGENCE ANALYSIS, AND MOBILE ACCESS FOR COUNTER-TERRORISM AND HUMAN-TRAFFICKING OPERATIONS. THEY ENHANCE OFFICER DEVELOPMENT, INTERAGENCY COORDINATION, AND RAPID, PROTECTED DISSEMINATION OF MISSION-CRITICAL INFORMATION.</t>
  </si>
  <si>
    <t>2YTLR852623618</t>
  </si>
  <si>
    <t>2YTEY452693667</t>
  </si>
  <si>
    <t>THE BRISTOL POLICE DEPARTMENT WOULD PLACE CHAIN SAWS AND OTHER TRAFFIC CONTROL EQUIPMENT ON THIS VAN TO HELP CLEAR ROADS DURING MAJOR STORMS. THE BASE STATES THIS IS OPERATIONAL.</t>
  </si>
  <si>
    <t>2YTBJQ52763714</t>
  </si>
  <si>
    <t>THE BRISTOL POLICE DEPARTMENT WOULD USE THIS FOR OUR EVIDENCE TECHNICIAN TO TRANSPORT EVIDENCE TO THE CRIME LAB. THE BASE STATES THIS IS OPERATIONAL.</t>
  </si>
  <si>
    <t>2YTBJQ52763713</t>
  </si>
  <si>
    <t>THE TRAILER WILL BE USED BY THE ARP POLICE DEPARTMENT FOR LAW ENFORCEMENT PURPOSES ONLY. OFFICERS WILL USE THE TRAILER TO PICKUP LESO EQUIPMENT AND MOVE PD EQUIPMENT TO LOCATIONS WHERE IT IS NEEDED.</t>
  </si>
  <si>
    <t>2YTANX52763744</t>
  </si>
  <si>
    <t>USE AT HDQ'S FOR EQUIPMENT TRANSPORT</t>
  </si>
  <si>
    <t>2YT1DY52693790</t>
  </si>
  <si>
    <t>USE IN HDQS FOR EQUIPMENT TRANSPORT</t>
  </si>
  <si>
    <t>2YT1DY52693788</t>
  </si>
  <si>
    <t>THE TRAILER WILL BE USED BY THE ARP POLICE DEPARTMENT FOR LAW ENFORCEMENT PURPOSES ONLY. THE TRAILER WILL BE USED BY OFFICERS TO PICK UP LESO AWARDED EQUIPMENT. IT WILL ALSO BE USED TO MOVE PD AND LESO EQUIPMENT TO WHERE IT WILL BE UTILIZED.</t>
  </si>
  <si>
    <t>2YTANX52763820</t>
  </si>
  <si>
    <t>2YTEY452693940</t>
  </si>
  <si>
    <t>FOR USE BY RESCUE AND LE TEAMS TO SEE IN LOW LIGHT AND DARK CONDITIONS FOR TRAINING AND IN THE FIELD FOR OFFICER SAFETY AND TO LOOK FOR INJURED PERSONNEL.</t>
  </si>
  <si>
    <t>2YTMGW52694094</t>
  </si>
  <si>
    <t>OFFICERS FROM THE ALLEGHENY COUNTY HOUSING AUTHORITY CAN USE THE DRONES TO SEARCH THE AREA FOR ESCAPED SUSPECTS, MISSING CHILDREN AND TO PERFORM SURVEILLANCE, WE CURRENTLY HAVE ONE OFFICER WHO IS A CERTIFIED DRONE OPERATOR.</t>
  </si>
  <si>
    <t>2YTAF852764072</t>
  </si>
  <si>
    <t>THIS ITEM IS BEING REQUESTED BY THE SCREVEN COUNTY SHERIFF'S OFFICE TO BE USED BY DEPUTIES FOR LAW ENFORCEMENT PURPOSES. THE REQUESTED ENCLOSED TRAILER WILL BE USED BY DEPUTIES TO TRANSPORT LAW ENFORCEMENT EQUIPMENT TO LOCATIONS AWAY FROM THE MAIN OFFICE FOR LAW ENFORCEMENT PURPOSES AND REQUIRED TRAINING.</t>
  </si>
  <si>
    <t>2YTKVK52764009</t>
  </si>
  <si>
    <t>FOR MEMBERS OF THE HASBROUCK HEIGHTS POLICE DEPARTMENT AND ITS MEMBERS ONLY. THIS WILL ASSIST LAW ENFORCEMENT WITH IN THE APPREHENSION OF POSSIBLE SUSPECTS AND SURVEILLANCE.</t>
  </si>
  <si>
    <t>2YTQCV52764174</t>
  </si>
  <si>
    <t>2YTQCV52764173</t>
  </si>
  <si>
    <t>THE TOWNSEND POLICE DEPARTMENT WILL USE THIS SYSTEM AS AN OFFICER SAFETY TOOL TO HELP SEE A SUSPECT IN BRUSH, AT NIGHT OR IN A BUILDING. WE WILL ALSO USE IT AS A SEARCH AND RESCUE TOOL TO LOCATE MISSING OR INJURED ADULTS OR YOUTH. OUR COMMUNITY PRESENTLY HAS 3 SCHOOLS 3 PRE-SCHOOLS AND SEVERAL SUBJECTS WITH DEMENTIA, ALZHEIMER'S AND OTHER MENTAL DIMINISHED CAPACITIES.</t>
  </si>
  <si>
    <t>2YTRSG52694210</t>
  </si>
  <si>
    <t>2YTJ7852834656</t>
  </si>
  <si>
    <t>MONTGOMERY CSO NEEDS THIS MRAP FOR ITS SRT TEAM AND TO DEPLOY DURING SRT OPERATIONS, HOSTAGE NEGATIONS AND RESCUES, ACTIVE SHOOTER CALL OUTS, BARRICADED SUBJECTS, VIOLENT FUGITIVE APPREHENSION, HOMELAND SECURITY OPERATIONS, EMERGENCY INCIDENTS AND ANYTIME THAT OUR SRT TEAM IS ACTIVATED TO USE TO PROTECT OUR OFFICERS.</t>
  </si>
  <si>
    <t>2YTHYP52834767</t>
  </si>
  <si>
    <t>THE HCSO IS A LAW ENFORCEMENT AGENCY.?? THESE NIGHT VISION DEVICES WOULD FILL A NEED FOR LOW LIGHT NAVIGATION DURING EMERGENCIES LIKE NATURAL DISASTERS, MISSING PERSONS CASES, FUGITIVE APPREHENSION, AND OTHER CRISES. THESE UNITS WOULD ENHANCE HCSO'S CAPABILITIES AND BENEFIT NOT ONLY HOWELL COUNTY BUT ALSO SURROUNDING AREAS RELYING ON HCSO FOR MUTUAL AID IN EMERGENCY RESPONSE. WE HAVE VIEWED PHOTOS, CONTACTED THE SITE AND WILL ACCEPT THE PROPERTY IN IT'S CONDITION AND PAY SHIPPING COSTS</t>
  </si>
  <si>
    <t>2YTFKX52764756</t>
  </si>
  <si>
    <t>Rejected by ETP1267.</t>
  </si>
  <si>
    <t>2YTMPA51998141</t>
  </si>
  <si>
    <t>FEDERAL COORDINATOR</t>
  </si>
  <si>
    <t>Rejected by EDA0691.  Comments: You must first see approval thru .</t>
  </si>
  <si>
    <t>2YTMRH52270435</t>
  </si>
  <si>
    <t>Rejected by EDA0691.  Comments: item does not meet FBI requirements.</t>
  </si>
  <si>
    <t>2YTMRH52270451</t>
  </si>
  <si>
    <t>2YTMRH52270445</t>
  </si>
  <si>
    <t>2YTMRH52270440</t>
  </si>
  <si>
    <t>2YTMRH52270439</t>
  </si>
  <si>
    <t>2YTMRH52270438</t>
  </si>
  <si>
    <t>REQUEST OF A COMPUTER SYSTEM FOR FBI CLEVELAND. THE LAPTOP WOULD BE USED FOR FIELD OPERATIONS AND FOR OFFICIAL LE USE ONLY. ITEM WOULD BE ISSUED AND ASSIGNED TO ACTIVE AGENTS, ANALYSTS AND SPECIALISTS FOR ON-SITE MISSIONS, AS REQUIRED BY DAILY INVESTIGATIONS</t>
  </si>
  <si>
    <t>2YTMRH52270434</t>
  </si>
  <si>
    <t>REASON CANCELLED</t>
  </si>
  <si>
    <t>DATE LAST UPDATED</t>
  </si>
  <si>
    <t>DATE REQUESTED</t>
  </si>
  <si>
    <t>CANCELLED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</si>
</sst>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8"/>
      <color theme="1"/>
      <name val="Tahoma"/>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18" fillId="0" borderId="0" xfId="0" applyFont="1" applyAlignment="1">
      <alignment vertical="center"/>
    </xf>
    <xf numFmtId="14" fontId="18" fillId="0" borderId="0" xfId="0" applyNumberFormat="1" applyFont="1" applyAlignment="1">
      <alignment vertical="center"/>
    </xf>
    <xf numFmtId="0" fontId="18" fillId="0" borderId="0" xfId="0" applyFont="1" applyAlignment="1">
      <alignment horizontal="center" vertical="center"/>
    </xf>
    <xf numFmtId="0" fontId="18" fillId="0" borderId="0" xfId="0" applyFont="1" applyAlignment="1">
      <alignment horizontal="lef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C8A81-3388-4237-B193-3E85D520DE8B}">
  <dimension ref="A1:K1737"/>
  <sheetViews>
    <sheetView tabSelected="1" workbookViewId="0"/>
  </sheetViews>
  <sheetFormatPr defaultRowHeight="10" x14ac:dyDescent="0.35"/>
  <cols>
    <col min="1" max="1" width="5.26953125" style="3" bestFit="1" customWidth="1"/>
    <col min="2" max="2" width="37.453125" style="1" bestFit="1" customWidth="1"/>
    <col min="3" max="3" width="13.453125" style="1" bestFit="1" customWidth="1"/>
    <col min="4" max="4" width="4.1796875" style="1" bestFit="1" customWidth="1"/>
    <col min="5" max="5" width="10.1796875" style="1" bestFit="1" customWidth="1"/>
    <col min="6" max="6" width="36.6328125" style="1" bestFit="1" customWidth="1"/>
    <col min="7" max="7" width="3" style="3" bestFit="1" customWidth="1"/>
    <col min="8" max="8" width="8.1796875" style="3" bestFit="1" customWidth="1"/>
    <col min="9" max="9" width="15.26953125" style="4" bestFit="1" customWidth="1"/>
    <col min="10" max="10" width="10.81640625" style="1" bestFit="1" customWidth="1"/>
    <col min="11" max="11" width="255.6328125" style="1" bestFit="1" customWidth="1"/>
    <col min="12" max="16384" width="8.7265625" style="1"/>
  </cols>
  <sheetData>
    <row r="1" spans="1:11" x14ac:dyDescent="0.35">
      <c r="A1" s="3" t="s">
        <v>0</v>
      </c>
      <c r="B1" s="1" t="s">
        <v>1</v>
      </c>
      <c r="C1" s="1" t="s">
        <v>2</v>
      </c>
      <c r="D1" s="1" t="s">
        <v>3</v>
      </c>
      <c r="E1" s="1" t="s">
        <v>4</v>
      </c>
      <c r="F1" s="1" t="s">
        <v>5</v>
      </c>
      <c r="G1" s="3" t="s">
        <v>6</v>
      </c>
      <c r="H1" s="3" t="s">
        <v>7</v>
      </c>
      <c r="I1" s="4" t="s">
        <v>8</v>
      </c>
      <c r="J1" s="1" t="s">
        <v>9</v>
      </c>
      <c r="K1" s="1" t="s">
        <v>10</v>
      </c>
    </row>
    <row r="2" spans="1:11" x14ac:dyDescent="0.35">
      <c r="A2" s="3" t="s">
        <v>11</v>
      </c>
      <c r="B2" s="1" t="s">
        <v>12</v>
      </c>
      <c r="C2" s="1" t="s">
        <v>24</v>
      </c>
      <c r="D2" s="1" t="str">
        <f>"6530"</f>
        <v>6530</v>
      </c>
      <c r="E2" s="1" t="s">
        <v>25</v>
      </c>
      <c r="F2" s="1" t="s">
        <v>26</v>
      </c>
      <c r="G2" s="3" t="s">
        <v>15</v>
      </c>
      <c r="H2" s="3" t="str">
        <f>"36"</f>
        <v>36</v>
      </c>
      <c r="I2" s="4" t="str">
        <f>"30"</f>
        <v>30</v>
      </c>
      <c r="J2" s="2">
        <v>45908</v>
      </c>
      <c r="K2" s="1" t="s">
        <v>27</v>
      </c>
    </row>
    <row r="3" spans="1:11" x14ac:dyDescent="0.35">
      <c r="A3" s="3" t="s">
        <v>11</v>
      </c>
      <c r="B3" s="1" t="s">
        <v>12</v>
      </c>
      <c r="C3" s="1" t="s">
        <v>28</v>
      </c>
      <c r="D3" s="1" t="str">
        <f>"6530"</f>
        <v>6530</v>
      </c>
      <c r="E3" s="1" t="str">
        <f>"014221267"</f>
        <v>014221267</v>
      </c>
      <c r="F3" s="1" t="s">
        <v>29</v>
      </c>
      <c r="G3" s="3" t="s">
        <v>15</v>
      </c>
      <c r="H3" s="3" t="str">
        <f>"4"</f>
        <v>4</v>
      </c>
      <c r="I3" s="4">
        <v>915.43</v>
      </c>
      <c r="J3" s="2">
        <v>45908</v>
      </c>
      <c r="K3" s="1" t="s">
        <v>30</v>
      </c>
    </row>
    <row r="4" spans="1:11" x14ac:dyDescent="0.35">
      <c r="A4" s="3" t="s">
        <v>11</v>
      </c>
      <c r="B4" s="1" t="s">
        <v>65</v>
      </c>
      <c r="C4" s="1" t="s">
        <v>73</v>
      </c>
      <c r="D4" s="1" t="str">
        <f>"2360"</f>
        <v>2360</v>
      </c>
      <c r="E4" s="1" t="str">
        <f>"016631015"</f>
        <v>016631015</v>
      </c>
      <c r="F4" s="1" t="s">
        <v>14</v>
      </c>
      <c r="G4" s="3" t="s">
        <v>15</v>
      </c>
      <c r="H4" s="3" t="str">
        <f>"3"</f>
        <v>3</v>
      </c>
      <c r="I4" s="4" t="str">
        <f>"126462"</f>
        <v>126462</v>
      </c>
      <c r="J4" s="2">
        <v>45903</v>
      </c>
      <c r="K4" s="1" t="s">
        <v>74</v>
      </c>
    </row>
    <row r="5" spans="1:11" x14ac:dyDescent="0.35">
      <c r="A5" s="3" t="s">
        <v>11</v>
      </c>
      <c r="B5" s="1" t="s">
        <v>12</v>
      </c>
      <c r="C5" s="1" t="s">
        <v>55</v>
      </c>
      <c r="D5" s="1" t="str">
        <f>"8465"</f>
        <v>8465</v>
      </c>
      <c r="E5" s="1" t="str">
        <f>"016418924"</f>
        <v>016418924</v>
      </c>
      <c r="F5" s="1" t="s">
        <v>53</v>
      </c>
      <c r="G5" s="3" t="s">
        <v>15</v>
      </c>
      <c r="H5" s="3" t="str">
        <f>"21"</f>
        <v>21</v>
      </c>
      <c r="I5" s="4">
        <v>39.4</v>
      </c>
      <c r="J5" s="2">
        <v>45891</v>
      </c>
      <c r="K5" s="1" t="s">
        <v>54</v>
      </c>
    </row>
    <row r="6" spans="1:11" x14ac:dyDescent="0.35">
      <c r="A6" s="3" t="s">
        <v>11</v>
      </c>
      <c r="B6" s="1" t="s">
        <v>12</v>
      </c>
      <c r="C6" s="1" t="s">
        <v>56</v>
      </c>
      <c r="D6" s="1" t="str">
        <f>"8465"</f>
        <v>8465</v>
      </c>
      <c r="E6" s="1" t="str">
        <f>"015851512"</f>
        <v>015851512</v>
      </c>
      <c r="F6" s="1" t="s">
        <v>57</v>
      </c>
      <c r="G6" s="3" t="s">
        <v>58</v>
      </c>
      <c r="H6" s="3" t="str">
        <f>"6"</f>
        <v>6</v>
      </c>
      <c r="I6" s="4">
        <v>120.52</v>
      </c>
      <c r="J6" s="2">
        <v>45891</v>
      </c>
      <c r="K6" s="1" t="s">
        <v>59</v>
      </c>
    </row>
    <row r="7" spans="1:11" x14ac:dyDescent="0.35">
      <c r="A7" s="3" t="s">
        <v>11</v>
      </c>
      <c r="B7" s="1" t="s">
        <v>12</v>
      </c>
      <c r="C7" s="1" t="s">
        <v>60</v>
      </c>
      <c r="D7" s="1" t="str">
        <f>"8465"</f>
        <v>8465</v>
      </c>
      <c r="E7" s="1" t="str">
        <f>"015851512"</f>
        <v>015851512</v>
      </c>
      <c r="F7" s="1" t="s">
        <v>57</v>
      </c>
      <c r="G7" s="3" t="s">
        <v>58</v>
      </c>
      <c r="H7" s="3" t="str">
        <f>"6"</f>
        <v>6</v>
      </c>
      <c r="I7" s="4">
        <v>120.52</v>
      </c>
      <c r="J7" s="2">
        <v>45891</v>
      </c>
      <c r="K7" s="1" t="s">
        <v>59</v>
      </c>
    </row>
    <row r="8" spans="1:11" x14ac:dyDescent="0.35">
      <c r="A8" s="3" t="s">
        <v>11</v>
      </c>
      <c r="B8" s="1" t="s">
        <v>65</v>
      </c>
      <c r="C8" s="1" t="s">
        <v>66</v>
      </c>
      <c r="D8" s="1" t="str">
        <f>"1385"</f>
        <v>1385</v>
      </c>
      <c r="E8" s="1" t="str">
        <f>"015936219"</f>
        <v>015936219</v>
      </c>
      <c r="F8" s="1" t="s">
        <v>67</v>
      </c>
      <c r="G8" s="3" t="s">
        <v>15</v>
      </c>
      <c r="H8" s="3" t="str">
        <f>"4"</f>
        <v>4</v>
      </c>
      <c r="I8" s="4" t="str">
        <f>"77000"</f>
        <v>77000</v>
      </c>
      <c r="J8" s="2">
        <v>45877</v>
      </c>
      <c r="K8" s="1" t="s">
        <v>68</v>
      </c>
    </row>
    <row r="9" spans="1:11" x14ac:dyDescent="0.35">
      <c r="A9" s="3" t="s">
        <v>11</v>
      </c>
      <c r="B9" s="1" t="s">
        <v>65</v>
      </c>
      <c r="C9" s="1" t="s">
        <v>79</v>
      </c>
      <c r="D9" s="1" t="str">
        <f>"4010"</f>
        <v>4010</v>
      </c>
      <c r="E9" s="1" t="s">
        <v>80</v>
      </c>
      <c r="F9" s="1" t="s">
        <v>81</v>
      </c>
      <c r="G9" s="3" t="s">
        <v>15</v>
      </c>
      <c r="H9" s="3" t="str">
        <f>"2"</f>
        <v>2</v>
      </c>
      <c r="I9" s="4" t="str">
        <f>"20"</f>
        <v>20</v>
      </c>
      <c r="J9" s="2">
        <v>45877</v>
      </c>
      <c r="K9" s="1" t="s">
        <v>82</v>
      </c>
    </row>
    <row r="10" spans="1:11" x14ac:dyDescent="0.35">
      <c r="A10" s="3" t="s">
        <v>11</v>
      </c>
      <c r="B10" s="1" t="s">
        <v>65</v>
      </c>
      <c r="C10" s="1" t="s">
        <v>83</v>
      </c>
      <c r="D10" s="1" t="str">
        <f>"4010"</f>
        <v>4010</v>
      </c>
      <c r="E10" s="1" t="s">
        <v>80</v>
      </c>
      <c r="F10" s="1" t="s">
        <v>81</v>
      </c>
      <c r="G10" s="3" t="s">
        <v>15</v>
      </c>
      <c r="H10" s="3" t="str">
        <f>"20"</f>
        <v>20</v>
      </c>
      <c r="I10" s="4" t="str">
        <f>"20"</f>
        <v>20</v>
      </c>
      <c r="J10" s="2">
        <v>45877</v>
      </c>
      <c r="K10" s="1" t="s">
        <v>82</v>
      </c>
    </row>
    <row r="11" spans="1:11" x14ac:dyDescent="0.35">
      <c r="A11" s="3" t="s">
        <v>11</v>
      </c>
      <c r="B11" s="1" t="s">
        <v>12</v>
      </c>
      <c r="C11" s="1" t="s">
        <v>13</v>
      </c>
      <c r="D11" s="1" t="str">
        <f>"2360"</f>
        <v>2360</v>
      </c>
      <c r="E11" s="1" t="str">
        <f>"016420789"</f>
        <v>016420789</v>
      </c>
      <c r="F11" s="1" t="s">
        <v>14</v>
      </c>
      <c r="G11" s="3" t="s">
        <v>15</v>
      </c>
      <c r="H11" s="3" t="str">
        <f>"1"</f>
        <v>1</v>
      </c>
      <c r="I11" s="4" t="str">
        <f>"118759"</f>
        <v>118759</v>
      </c>
      <c r="J11" s="2">
        <v>45863</v>
      </c>
      <c r="K11" s="1" t="s">
        <v>16</v>
      </c>
    </row>
    <row r="12" spans="1:11" x14ac:dyDescent="0.35">
      <c r="A12" s="3" t="s">
        <v>11</v>
      </c>
      <c r="B12" s="1" t="s">
        <v>12</v>
      </c>
      <c r="C12" s="1" t="s">
        <v>41</v>
      </c>
      <c r="D12" s="1" t="str">
        <f>"7830"</f>
        <v>7830</v>
      </c>
      <c r="E12" s="1" t="s">
        <v>42</v>
      </c>
      <c r="F12" s="1" t="s">
        <v>43</v>
      </c>
      <c r="G12" s="3" t="s">
        <v>15</v>
      </c>
      <c r="H12" s="3" t="str">
        <f>"1"</f>
        <v>1</v>
      </c>
      <c r="I12" s="4" t="str">
        <f>"1000"</f>
        <v>1000</v>
      </c>
      <c r="J12" s="2">
        <v>45863</v>
      </c>
      <c r="K12" s="1" t="s">
        <v>44</v>
      </c>
    </row>
    <row r="13" spans="1:11" x14ac:dyDescent="0.35">
      <c r="A13" s="3" t="s">
        <v>11</v>
      </c>
      <c r="B13" s="1" t="s">
        <v>12</v>
      </c>
      <c r="C13" s="1" t="s">
        <v>45</v>
      </c>
      <c r="D13" s="1" t="str">
        <f>"7830"</f>
        <v>7830</v>
      </c>
      <c r="E13" s="1" t="s">
        <v>46</v>
      </c>
      <c r="F13" s="1" t="s">
        <v>47</v>
      </c>
      <c r="G13" s="3" t="s">
        <v>15</v>
      </c>
      <c r="H13" s="3" t="str">
        <f>"1"</f>
        <v>1</v>
      </c>
      <c r="I13" s="4" t="str">
        <f>"2225"</f>
        <v>2225</v>
      </c>
      <c r="J13" s="2">
        <v>45863</v>
      </c>
      <c r="K13" s="1" t="s">
        <v>48</v>
      </c>
    </row>
    <row r="14" spans="1:11" x14ac:dyDescent="0.35">
      <c r="A14" s="3" t="s">
        <v>11</v>
      </c>
      <c r="B14" s="1" t="s">
        <v>12</v>
      </c>
      <c r="C14" s="1" t="s">
        <v>49</v>
      </c>
      <c r="D14" s="1" t="str">
        <f>"7830"</f>
        <v>7830</v>
      </c>
      <c r="E14" s="1" t="s">
        <v>50</v>
      </c>
      <c r="F14" s="1" t="s">
        <v>51</v>
      </c>
      <c r="G14" s="3" t="s">
        <v>15</v>
      </c>
      <c r="H14" s="3" t="str">
        <f>"1"</f>
        <v>1</v>
      </c>
      <c r="I14" s="4" t="str">
        <f>"1000"</f>
        <v>1000</v>
      </c>
      <c r="J14" s="2">
        <v>45863</v>
      </c>
      <c r="K14" s="1" t="s">
        <v>48</v>
      </c>
    </row>
    <row r="15" spans="1:11" x14ac:dyDescent="0.35">
      <c r="A15" s="3" t="s">
        <v>11</v>
      </c>
      <c r="B15" s="1" t="s">
        <v>12</v>
      </c>
      <c r="C15" s="1" t="s">
        <v>61</v>
      </c>
      <c r="D15" s="1" t="str">
        <f>"9310"</f>
        <v>9310</v>
      </c>
      <c r="E15" s="1" t="s">
        <v>62</v>
      </c>
      <c r="F15" s="1" t="s">
        <v>63</v>
      </c>
      <c r="G15" s="3" t="s">
        <v>15</v>
      </c>
      <c r="H15" s="3" t="str">
        <f>"22"</f>
        <v>22</v>
      </c>
      <c r="I15" s="4" t="str">
        <f>"50"</f>
        <v>50</v>
      </c>
      <c r="J15" s="2">
        <v>45863</v>
      </c>
      <c r="K15" s="1" t="s">
        <v>64</v>
      </c>
    </row>
    <row r="16" spans="1:11" x14ac:dyDescent="0.35">
      <c r="A16" s="3" t="s">
        <v>11</v>
      </c>
      <c r="B16" s="1" t="s">
        <v>12</v>
      </c>
      <c r="C16" s="1" t="s">
        <v>17</v>
      </c>
      <c r="D16" s="1" t="str">
        <f>"5180"</f>
        <v>5180</v>
      </c>
      <c r="E16" s="1" t="str">
        <f>"015595981"</f>
        <v>015595981</v>
      </c>
      <c r="F16" s="1" t="s">
        <v>18</v>
      </c>
      <c r="G16" s="3" t="s">
        <v>19</v>
      </c>
      <c r="H16" s="3" t="str">
        <f>"1"</f>
        <v>1</v>
      </c>
      <c r="I16" s="4" t="str">
        <f>"1774"</f>
        <v>1774</v>
      </c>
      <c r="J16" s="2">
        <v>45861</v>
      </c>
      <c r="K16" s="1" t="s">
        <v>20</v>
      </c>
    </row>
    <row r="17" spans="1:11" x14ac:dyDescent="0.35">
      <c r="A17" s="3" t="s">
        <v>11</v>
      </c>
      <c r="B17" s="1" t="s">
        <v>12</v>
      </c>
      <c r="C17" s="1" t="s">
        <v>21</v>
      </c>
      <c r="D17" s="1" t="str">
        <f>"5965"</f>
        <v>5965</v>
      </c>
      <c r="E17" s="1" t="str">
        <f>"016190258"</f>
        <v>016190258</v>
      </c>
      <c r="F17" s="1" t="s">
        <v>22</v>
      </c>
      <c r="G17" s="3" t="s">
        <v>15</v>
      </c>
      <c r="H17" s="3" t="str">
        <f>"48"</f>
        <v>48</v>
      </c>
      <c r="I17" s="4" t="str">
        <f>"3069"</f>
        <v>3069</v>
      </c>
      <c r="J17" s="2">
        <v>45861</v>
      </c>
      <c r="K17" s="1" t="s">
        <v>23</v>
      </c>
    </row>
    <row r="18" spans="1:11" x14ac:dyDescent="0.35">
      <c r="A18" s="3" t="s">
        <v>11</v>
      </c>
      <c r="B18" s="1" t="s">
        <v>12</v>
      </c>
      <c r="C18" s="1" t="s">
        <v>31</v>
      </c>
      <c r="D18" s="1" t="str">
        <f>"6545"</f>
        <v>6545</v>
      </c>
      <c r="E18" s="1" t="str">
        <f>"015324962"</f>
        <v>015324962</v>
      </c>
      <c r="F18" s="1" t="s">
        <v>32</v>
      </c>
      <c r="G18" s="3" t="s">
        <v>19</v>
      </c>
      <c r="H18" s="3" t="str">
        <f>"4"</f>
        <v>4</v>
      </c>
      <c r="I18" s="4">
        <v>1868.26</v>
      </c>
      <c r="J18" s="2">
        <v>45861</v>
      </c>
      <c r="K18" s="1" t="s">
        <v>33</v>
      </c>
    </row>
    <row r="19" spans="1:11" x14ac:dyDescent="0.35">
      <c r="A19" s="3" t="s">
        <v>11</v>
      </c>
      <c r="B19" s="1" t="s">
        <v>12</v>
      </c>
      <c r="C19" s="1" t="s">
        <v>34</v>
      </c>
      <c r="D19" s="1" t="str">
        <f>"6545"</f>
        <v>6545</v>
      </c>
      <c r="E19" s="1" t="str">
        <f>"015324962"</f>
        <v>015324962</v>
      </c>
      <c r="F19" s="1" t="s">
        <v>32</v>
      </c>
      <c r="G19" s="3" t="s">
        <v>19</v>
      </c>
      <c r="H19" s="3" t="str">
        <f>"1"</f>
        <v>1</v>
      </c>
      <c r="I19" s="4">
        <v>1868.26</v>
      </c>
      <c r="J19" s="2">
        <v>45861</v>
      </c>
      <c r="K19" s="1" t="s">
        <v>33</v>
      </c>
    </row>
    <row r="20" spans="1:11" x14ac:dyDescent="0.35">
      <c r="A20" s="3" t="s">
        <v>11</v>
      </c>
      <c r="B20" s="1" t="s">
        <v>12</v>
      </c>
      <c r="C20" s="1" t="s">
        <v>35</v>
      </c>
      <c r="D20" s="1" t="str">
        <f>"6545"</f>
        <v>6545</v>
      </c>
      <c r="E20" s="1" t="str">
        <f>"015324962"</f>
        <v>015324962</v>
      </c>
      <c r="F20" s="1" t="s">
        <v>32</v>
      </c>
      <c r="G20" s="3" t="s">
        <v>19</v>
      </c>
      <c r="H20" s="3" t="str">
        <f>"2"</f>
        <v>2</v>
      </c>
      <c r="I20" s="4">
        <v>1868.26</v>
      </c>
      <c r="J20" s="2">
        <v>45861</v>
      </c>
      <c r="K20" s="1" t="s">
        <v>33</v>
      </c>
    </row>
    <row r="21" spans="1:11" x14ac:dyDescent="0.35">
      <c r="A21" s="3" t="s">
        <v>11</v>
      </c>
      <c r="B21" s="1" t="s">
        <v>12</v>
      </c>
      <c r="C21" s="1" t="s">
        <v>36</v>
      </c>
      <c r="D21" s="1" t="str">
        <f>"6545"</f>
        <v>6545</v>
      </c>
      <c r="E21" s="1" t="str">
        <f>"015324962"</f>
        <v>015324962</v>
      </c>
      <c r="F21" s="1" t="s">
        <v>32</v>
      </c>
      <c r="G21" s="3" t="s">
        <v>19</v>
      </c>
      <c r="H21" s="3" t="str">
        <f>"4"</f>
        <v>4</v>
      </c>
      <c r="I21" s="4">
        <v>1868.26</v>
      </c>
      <c r="J21" s="2">
        <v>45861</v>
      </c>
      <c r="K21" s="1" t="s">
        <v>37</v>
      </c>
    </row>
    <row r="22" spans="1:11" x14ac:dyDescent="0.35">
      <c r="A22" s="3" t="s">
        <v>11</v>
      </c>
      <c r="B22" s="1" t="s">
        <v>12</v>
      </c>
      <c r="C22" s="1" t="s">
        <v>38</v>
      </c>
      <c r="D22" s="1" t="str">
        <f>"6665"</f>
        <v>6665</v>
      </c>
      <c r="E22" s="1" t="str">
        <f>"151952879"</f>
        <v>151952879</v>
      </c>
      <c r="F22" s="1" t="s">
        <v>39</v>
      </c>
      <c r="G22" s="3" t="s">
        <v>15</v>
      </c>
      <c r="H22" s="3" t="str">
        <f>"6"</f>
        <v>6</v>
      </c>
      <c r="I22" s="4" t="str">
        <f>"3600"</f>
        <v>3600</v>
      </c>
      <c r="J22" s="2">
        <v>45861</v>
      </c>
      <c r="K22" s="1" t="s">
        <v>40</v>
      </c>
    </row>
    <row r="23" spans="1:11" x14ac:dyDescent="0.35">
      <c r="A23" s="3" t="s">
        <v>11</v>
      </c>
      <c r="B23" s="1" t="s">
        <v>12</v>
      </c>
      <c r="C23" s="1" t="s">
        <v>52</v>
      </c>
      <c r="D23" s="1" t="str">
        <f>"8465"</f>
        <v>8465</v>
      </c>
      <c r="E23" s="1" t="str">
        <f>"015800689"</f>
        <v>015800689</v>
      </c>
      <c r="F23" s="1" t="s">
        <v>53</v>
      </c>
      <c r="G23" s="3" t="s">
        <v>15</v>
      </c>
      <c r="H23" s="3" t="str">
        <f>"18"</f>
        <v>18</v>
      </c>
      <c r="I23" s="4">
        <v>37.43</v>
      </c>
      <c r="J23" s="2">
        <v>45861</v>
      </c>
      <c r="K23" s="1" t="s">
        <v>54</v>
      </c>
    </row>
    <row r="24" spans="1:11" x14ac:dyDescent="0.35">
      <c r="A24" s="3" t="s">
        <v>11</v>
      </c>
      <c r="B24" s="1" t="s">
        <v>65</v>
      </c>
      <c r="C24" s="1" t="s">
        <v>84</v>
      </c>
      <c r="D24" s="1" t="str">
        <f>"5180"</f>
        <v>5180</v>
      </c>
      <c r="E24" s="1" t="str">
        <f>"014993546"</f>
        <v>014993546</v>
      </c>
      <c r="F24" s="1" t="s">
        <v>85</v>
      </c>
      <c r="G24" s="3" t="s">
        <v>19</v>
      </c>
      <c r="H24" s="3" t="str">
        <f>"1"</f>
        <v>1</v>
      </c>
      <c r="I24" s="4" t="str">
        <f>"4949"</f>
        <v>4949</v>
      </c>
      <c r="J24" s="2">
        <v>45849</v>
      </c>
      <c r="K24" s="1" t="s">
        <v>59</v>
      </c>
    </row>
    <row r="25" spans="1:11" x14ac:dyDescent="0.35">
      <c r="A25" s="3" t="s">
        <v>11</v>
      </c>
      <c r="B25" s="1" t="s">
        <v>65</v>
      </c>
      <c r="C25" s="1" t="s">
        <v>75</v>
      </c>
      <c r="D25" s="1" t="str">
        <f>"3825"</f>
        <v>3825</v>
      </c>
      <c r="E25" s="1" t="s">
        <v>76</v>
      </c>
      <c r="F25" s="1" t="s">
        <v>77</v>
      </c>
      <c r="G25" s="3" t="s">
        <v>15</v>
      </c>
      <c r="H25" s="3" t="str">
        <f>"1"</f>
        <v>1</v>
      </c>
      <c r="I25" s="4" t="str">
        <f>"800"</f>
        <v>800</v>
      </c>
      <c r="J25" s="2">
        <v>45848</v>
      </c>
      <c r="K25" s="1" t="s">
        <v>78</v>
      </c>
    </row>
    <row r="26" spans="1:11" x14ac:dyDescent="0.35">
      <c r="A26" s="3" t="s">
        <v>11</v>
      </c>
      <c r="B26" s="1" t="s">
        <v>65</v>
      </c>
      <c r="C26" s="1" t="s">
        <v>86</v>
      </c>
      <c r="D26" s="1" t="str">
        <f>"7830"</f>
        <v>7830</v>
      </c>
      <c r="E26" s="1" t="s">
        <v>42</v>
      </c>
      <c r="F26" s="1" t="s">
        <v>43</v>
      </c>
      <c r="G26" s="3" t="s">
        <v>15</v>
      </c>
      <c r="H26" s="3" t="str">
        <f>"2"</f>
        <v>2</v>
      </c>
      <c r="I26" s="4" t="str">
        <f>"1000"</f>
        <v>1000</v>
      </c>
      <c r="J26" s="2">
        <v>45848</v>
      </c>
      <c r="K26" s="1" t="s">
        <v>87</v>
      </c>
    </row>
    <row r="27" spans="1:11" x14ac:dyDescent="0.35">
      <c r="A27" s="3" t="s">
        <v>11</v>
      </c>
      <c r="B27" s="1" t="s">
        <v>65</v>
      </c>
      <c r="C27" s="1" t="s">
        <v>88</v>
      </c>
      <c r="D27" s="1" t="str">
        <f>"7830"</f>
        <v>7830</v>
      </c>
      <c r="E27" s="1" t="s">
        <v>89</v>
      </c>
      <c r="F27" s="1" t="s">
        <v>90</v>
      </c>
      <c r="G27" s="3" t="s">
        <v>15</v>
      </c>
      <c r="H27" s="3" t="str">
        <f>"1"</f>
        <v>1</v>
      </c>
      <c r="I27" s="4" t="str">
        <f>"1000"</f>
        <v>1000</v>
      </c>
      <c r="J27" s="2">
        <v>45848</v>
      </c>
      <c r="K27" s="1" t="s">
        <v>91</v>
      </c>
    </row>
    <row r="28" spans="1:11" x14ac:dyDescent="0.35">
      <c r="A28" s="3" t="s">
        <v>11</v>
      </c>
      <c r="B28" s="1" t="s">
        <v>65</v>
      </c>
      <c r="C28" s="1" t="s">
        <v>92</v>
      </c>
      <c r="D28" s="1" t="str">
        <f>"7830"</f>
        <v>7830</v>
      </c>
      <c r="E28" s="1" t="s">
        <v>89</v>
      </c>
      <c r="F28" s="1" t="s">
        <v>90</v>
      </c>
      <c r="G28" s="3" t="s">
        <v>15</v>
      </c>
      <c r="H28" s="3" t="str">
        <f>"1"</f>
        <v>1</v>
      </c>
      <c r="I28" s="4" t="str">
        <f>"1000"</f>
        <v>1000</v>
      </c>
      <c r="J28" s="2">
        <v>45848</v>
      </c>
      <c r="K28" s="1" t="s">
        <v>91</v>
      </c>
    </row>
    <row r="29" spans="1:11" x14ac:dyDescent="0.35">
      <c r="A29" s="3" t="s">
        <v>11</v>
      </c>
      <c r="B29" s="1" t="s">
        <v>65</v>
      </c>
      <c r="C29" s="1" t="s">
        <v>69</v>
      </c>
      <c r="D29" s="1" t="str">
        <f>"2330"</f>
        <v>2330</v>
      </c>
      <c r="E29" s="1" t="s">
        <v>70</v>
      </c>
      <c r="F29" s="1" t="s">
        <v>71</v>
      </c>
      <c r="G29" s="3" t="s">
        <v>15</v>
      </c>
      <c r="H29" s="3" t="str">
        <f>"1"</f>
        <v>1</v>
      </c>
      <c r="I29" s="4" t="str">
        <f>"50000"</f>
        <v>50000</v>
      </c>
      <c r="J29" s="2">
        <v>45847</v>
      </c>
      <c r="K29" s="1" t="s">
        <v>72</v>
      </c>
    </row>
    <row r="30" spans="1:11" x14ac:dyDescent="0.35">
      <c r="A30" s="3" t="s">
        <v>93</v>
      </c>
      <c r="B30" s="1" t="s">
        <v>450</v>
      </c>
      <c r="C30" s="1" t="s">
        <v>454</v>
      </c>
      <c r="D30" s="1" t="str">
        <f>"1740"</f>
        <v>1740</v>
      </c>
      <c r="E30" s="1" t="str">
        <f>"013894119"</f>
        <v>013894119</v>
      </c>
      <c r="F30" s="1" t="s">
        <v>455</v>
      </c>
      <c r="G30" s="3" t="s">
        <v>15</v>
      </c>
      <c r="H30" s="3" t="str">
        <f>"1"</f>
        <v>1</v>
      </c>
      <c r="I30" s="4">
        <v>29723.74</v>
      </c>
      <c r="J30" s="2">
        <v>45929</v>
      </c>
      <c r="K30" s="1" t="s">
        <v>456</v>
      </c>
    </row>
    <row r="31" spans="1:11" x14ac:dyDescent="0.35">
      <c r="A31" s="3" t="s">
        <v>93</v>
      </c>
      <c r="B31" s="1" t="s">
        <v>94</v>
      </c>
      <c r="C31" s="1" t="s">
        <v>98</v>
      </c>
      <c r="D31" s="1" t="str">
        <f>"3040"</f>
        <v>3040</v>
      </c>
      <c r="E31" s="1" t="str">
        <f>"002433661"</f>
        <v>002433661</v>
      </c>
      <c r="F31" s="1" t="s">
        <v>99</v>
      </c>
      <c r="G31" s="3" t="s">
        <v>15</v>
      </c>
      <c r="H31" s="3" t="str">
        <f>"11"</f>
        <v>11</v>
      </c>
      <c r="I31" s="4">
        <v>4736.82</v>
      </c>
      <c r="J31" s="2">
        <v>45927</v>
      </c>
      <c r="K31" s="1" t="s">
        <v>97</v>
      </c>
    </row>
    <row r="32" spans="1:11" x14ac:dyDescent="0.35">
      <c r="A32" s="3" t="s">
        <v>93</v>
      </c>
      <c r="B32" s="1" t="s">
        <v>258</v>
      </c>
      <c r="C32" s="1" t="s">
        <v>259</v>
      </c>
      <c r="D32" s="1" t="str">
        <f>"8140"</f>
        <v>8140</v>
      </c>
      <c r="E32" s="1" t="str">
        <f>"015925648"</f>
        <v>015925648</v>
      </c>
      <c r="F32" s="1" t="s">
        <v>260</v>
      </c>
      <c r="G32" s="3" t="s">
        <v>15</v>
      </c>
      <c r="H32" s="3" t="str">
        <f>"70"</f>
        <v>70</v>
      </c>
      <c r="I32" s="4" t="str">
        <f>"5"</f>
        <v>5</v>
      </c>
      <c r="J32" s="2">
        <v>45924</v>
      </c>
      <c r="K32" s="1" t="s">
        <v>261</v>
      </c>
    </row>
    <row r="33" spans="1:11" x14ac:dyDescent="0.35">
      <c r="A33" s="3" t="s">
        <v>93</v>
      </c>
      <c r="B33" s="1" t="s">
        <v>450</v>
      </c>
      <c r="C33" s="1" t="s">
        <v>462</v>
      </c>
      <c r="D33" s="1" t="str">
        <f>"2320"</f>
        <v>2320</v>
      </c>
      <c r="E33" s="1" t="s">
        <v>321</v>
      </c>
      <c r="F33" s="1" t="s">
        <v>322</v>
      </c>
      <c r="G33" s="3" t="s">
        <v>15</v>
      </c>
      <c r="H33" s="3" t="str">
        <f>"1"</f>
        <v>1</v>
      </c>
      <c r="I33" s="4" t="str">
        <f>"650000"</f>
        <v>650000</v>
      </c>
      <c r="J33" s="2">
        <v>45924</v>
      </c>
      <c r="K33" s="1" t="s">
        <v>463</v>
      </c>
    </row>
    <row r="34" spans="1:11" x14ac:dyDescent="0.35">
      <c r="A34" s="3" t="s">
        <v>93</v>
      </c>
      <c r="B34" s="1" t="s">
        <v>450</v>
      </c>
      <c r="C34" s="1" t="s">
        <v>485</v>
      </c>
      <c r="D34" s="1" t="str">
        <f>"3920"</f>
        <v>3920</v>
      </c>
      <c r="E34" s="1" t="s">
        <v>486</v>
      </c>
      <c r="F34" s="1" t="s">
        <v>487</v>
      </c>
      <c r="G34" s="3" t="s">
        <v>15</v>
      </c>
      <c r="H34" s="3" t="str">
        <f>"1"</f>
        <v>1</v>
      </c>
      <c r="I34" s="4">
        <v>1118.79</v>
      </c>
      <c r="J34" s="2">
        <v>45924</v>
      </c>
      <c r="K34" s="1" t="s">
        <v>488</v>
      </c>
    </row>
    <row r="35" spans="1:11" x14ac:dyDescent="0.35">
      <c r="A35" s="3" t="s">
        <v>93</v>
      </c>
      <c r="B35" s="1" t="s">
        <v>450</v>
      </c>
      <c r="C35" s="1" t="s">
        <v>499</v>
      </c>
      <c r="D35" s="1" t="str">
        <f>"5120"</f>
        <v>5120</v>
      </c>
      <c r="E35" s="1" t="str">
        <f>"015090862"</f>
        <v>015090862</v>
      </c>
      <c r="F35" s="1" t="s">
        <v>500</v>
      </c>
      <c r="G35" s="3" t="s">
        <v>15</v>
      </c>
      <c r="H35" s="3" t="str">
        <f>"1"</f>
        <v>1</v>
      </c>
      <c r="I35" s="4">
        <v>269.57</v>
      </c>
      <c r="J35" s="2">
        <v>45924</v>
      </c>
      <c r="K35" s="1" t="s">
        <v>501</v>
      </c>
    </row>
    <row r="36" spans="1:11" x14ac:dyDescent="0.35">
      <c r="A36" s="3" t="s">
        <v>93</v>
      </c>
      <c r="B36" s="1" t="s">
        <v>450</v>
      </c>
      <c r="C36" s="1" t="s">
        <v>502</v>
      </c>
      <c r="D36" s="1" t="str">
        <f>"5130"</f>
        <v>5130</v>
      </c>
      <c r="E36" s="1" t="str">
        <f>"014444662"</f>
        <v>014444662</v>
      </c>
      <c r="F36" s="1" t="s">
        <v>503</v>
      </c>
      <c r="G36" s="3" t="s">
        <v>15</v>
      </c>
      <c r="H36" s="3" t="str">
        <f>"1"</f>
        <v>1</v>
      </c>
      <c r="I36" s="4">
        <v>247.32</v>
      </c>
      <c r="J36" s="2">
        <v>45924</v>
      </c>
      <c r="K36" s="1" t="s">
        <v>501</v>
      </c>
    </row>
    <row r="37" spans="1:11" x14ac:dyDescent="0.35">
      <c r="A37" s="3" t="s">
        <v>93</v>
      </c>
      <c r="B37" s="1" t="s">
        <v>450</v>
      </c>
      <c r="C37" s="1" t="s">
        <v>504</v>
      </c>
      <c r="D37" s="1" t="str">
        <f>"5130"</f>
        <v>5130</v>
      </c>
      <c r="E37" s="1" t="str">
        <f>"014444662"</f>
        <v>014444662</v>
      </c>
      <c r="F37" s="1" t="s">
        <v>503</v>
      </c>
      <c r="G37" s="3" t="s">
        <v>15</v>
      </c>
      <c r="H37" s="3" t="str">
        <f>"1"</f>
        <v>1</v>
      </c>
      <c r="I37" s="4">
        <v>247.32</v>
      </c>
      <c r="J37" s="2">
        <v>45924</v>
      </c>
      <c r="K37" s="1" t="s">
        <v>501</v>
      </c>
    </row>
    <row r="38" spans="1:11" x14ac:dyDescent="0.35">
      <c r="A38" s="3" t="s">
        <v>93</v>
      </c>
      <c r="B38" s="1" t="s">
        <v>450</v>
      </c>
      <c r="C38" s="1" t="s">
        <v>505</v>
      </c>
      <c r="D38" s="1" t="str">
        <f>"5130"</f>
        <v>5130</v>
      </c>
      <c r="E38" s="1" t="s">
        <v>354</v>
      </c>
      <c r="F38" s="1" t="s">
        <v>355</v>
      </c>
      <c r="G38" s="3" t="s">
        <v>15</v>
      </c>
      <c r="H38" s="3" t="str">
        <f>"2"</f>
        <v>2</v>
      </c>
      <c r="I38" s="4" t="str">
        <f>"50"</f>
        <v>50</v>
      </c>
      <c r="J38" s="2">
        <v>45924</v>
      </c>
      <c r="K38" s="1" t="s">
        <v>501</v>
      </c>
    </row>
    <row r="39" spans="1:11" x14ac:dyDescent="0.35">
      <c r="A39" s="3" t="s">
        <v>93</v>
      </c>
      <c r="B39" s="1" t="s">
        <v>450</v>
      </c>
      <c r="C39" s="1" t="s">
        <v>506</v>
      </c>
      <c r="D39" s="1" t="str">
        <f>"5130"</f>
        <v>5130</v>
      </c>
      <c r="E39" s="1" t="s">
        <v>354</v>
      </c>
      <c r="F39" s="1" t="s">
        <v>355</v>
      </c>
      <c r="G39" s="3" t="s">
        <v>15</v>
      </c>
      <c r="H39" s="3" t="str">
        <f>"1"</f>
        <v>1</v>
      </c>
      <c r="I39" s="4">
        <v>32.9</v>
      </c>
      <c r="J39" s="2">
        <v>45924</v>
      </c>
      <c r="K39" s="1" t="s">
        <v>484</v>
      </c>
    </row>
    <row r="40" spans="1:11" x14ac:dyDescent="0.35">
      <c r="A40" s="3" t="s">
        <v>93</v>
      </c>
      <c r="B40" s="1" t="s">
        <v>450</v>
      </c>
      <c r="C40" s="1" t="s">
        <v>507</v>
      </c>
      <c r="D40" s="1" t="str">
        <f>"5130"</f>
        <v>5130</v>
      </c>
      <c r="E40" s="1" t="s">
        <v>508</v>
      </c>
      <c r="F40" s="1" t="s">
        <v>509</v>
      </c>
      <c r="G40" s="3" t="s">
        <v>15</v>
      </c>
      <c r="H40" s="3" t="str">
        <f>"1"</f>
        <v>1</v>
      </c>
      <c r="I40" s="4">
        <v>268.56</v>
      </c>
      <c r="J40" s="2">
        <v>45924</v>
      </c>
      <c r="K40" s="1" t="s">
        <v>484</v>
      </c>
    </row>
    <row r="41" spans="1:11" x14ac:dyDescent="0.35">
      <c r="A41" s="3" t="s">
        <v>93</v>
      </c>
      <c r="B41" s="1" t="s">
        <v>450</v>
      </c>
      <c r="C41" s="1" t="s">
        <v>510</v>
      </c>
      <c r="D41" s="1" t="str">
        <f>"5130"</f>
        <v>5130</v>
      </c>
      <c r="E41" s="1" t="s">
        <v>511</v>
      </c>
      <c r="F41" s="1" t="s">
        <v>512</v>
      </c>
      <c r="G41" s="3" t="s">
        <v>15</v>
      </c>
      <c r="H41" s="3" t="str">
        <f>"1"</f>
        <v>1</v>
      </c>
      <c r="I41" s="4">
        <v>99.99</v>
      </c>
      <c r="J41" s="2">
        <v>45924</v>
      </c>
      <c r="K41" s="1" t="s">
        <v>484</v>
      </c>
    </row>
    <row r="42" spans="1:11" x14ac:dyDescent="0.35">
      <c r="A42" s="3" t="s">
        <v>93</v>
      </c>
      <c r="B42" s="1" t="s">
        <v>450</v>
      </c>
      <c r="C42" s="1" t="s">
        <v>513</v>
      </c>
      <c r="D42" s="1" t="str">
        <f>"5130"</f>
        <v>5130</v>
      </c>
      <c r="E42" s="1" t="s">
        <v>511</v>
      </c>
      <c r="F42" s="1" t="s">
        <v>512</v>
      </c>
      <c r="G42" s="3" t="s">
        <v>15</v>
      </c>
      <c r="H42" s="3" t="str">
        <f>"1"</f>
        <v>1</v>
      </c>
      <c r="I42" s="4" t="str">
        <f>"251"</f>
        <v>251</v>
      </c>
      <c r="J42" s="2">
        <v>45924</v>
      </c>
      <c r="K42" s="1" t="s">
        <v>514</v>
      </c>
    </row>
    <row r="43" spans="1:11" x14ac:dyDescent="0.35">
      <c r="A43" s="3" t="s">
        <v>93</v>
      </c>
      <c r="B43" s="1" t="s">
        <v>450</v>
      </c>
      <c r="C43" s="1" t="s">
        <v>515</v>
      </c>
      <c r="D43" s="1" t="str">
        <f>"5180"</f>
        <v>5180</v>
      </c>
      <c r="E43" s="1" t="str">
        <f>"015375424"</f>
        <v>015375424</v>
      </c>
      <c r="F43" s="1" t="s">
        <v>516</v>
      </c>
      <c r="G43" s="3" t="s">
        <v>19</v>
      </c>
      <c r="H43" s="3" t="str">
        <f>"1"</f>
        <v>1</v>
      </c>
      <c r="I43" s="4" t="str">
        <f>"10423"</f>
        <v>10423</v>
      </c>
      <c r="J43" s="2">
        <v>45924</v>
      </c>
      <c r="K43" s="1" t="s">
        <v>501</v>
      </c>
    </row>
    <row r="44" spans="1:11" x14ac:dyDescent="0.35">
      <c r="A44" s="3" t="s">
        <v>93</v>
      </c>
      <c r="B44" s="1" t="s">
        <v>450</v>
      </c>
      <c r="C44" s="1" t="s">
        <v>520</v>
      </c>
      <c r="D44" s="1" t="str">
        <f>"5410"</f>
        <v>5410</v>
      </c>
      <c r="E44" s="1" t="str">
        <f>"013112895"</f>
        <v>013112895</v>
      </c>
      <c r="F44" s="1" t="s">
        <v>168</v>
      </c>
      <c r="G44" s="3" t="s">
        <v>15</v>
      </c>
      <c r="H44" s="3" t="str">
        <f>"2"</f>
        <v>2</v>
      </c>
      <c r="I44" s="4" t="str">
        <f>"21340"</f>
        <v>21340</v>
      </c>
      <c r="J44" s="2">
        <v>45924</v>
      </c>
      <c r="K44" s="1" t="s">
        <v>521</v>
      </c>
    </row>
    <row r="45" spans="1:11" x14ac:dyDescent="0.35">
      <c r="A45" s="3" t="s">
        <v>93</v>
      </c>
      <c r="B45" s="1" t="s">
        <v>450</v>
      </c>
      <c r="C45" s="1" t="s">
        <v>525</v>
      </c>
      <c r="D45" s="1" t="str">
        <f>"6140"</f>
        <v>6140</v>
      </c>
      <c r="E45" s="1" t="s">
        <v>526</v>
      </c>
      <c r="F45" s="1" t="s">
        <v>527</v>
      </c>
      <c r="G45" s="3" t="s">
        <v>15</v>
      </c>
      <c r="H45" s="3" t="str">
        <f>"6"</f>
        <v>6</v>
      </c>
      <c r="I45" s="4" t="str">
        <f>"260"</f>
        <v>260</v>
      </c>
      <c r="J45" s="2">
        <v>45924</v>
      </c>
      <c r="K45" s="1" t="s">
        <v>528</v>
      </c>
    </row>
    <row r="46" spans="1:11" x14ac:dyDescent="0.35">
      <c r="A46" s="3" t="s">
        <v>93</v>
      </c>
      <c r="B46" s="1" t="s">
        <v>433</v>
      </c>
      <c r="C46" s="1" t="s">
        <v>434</v>
      </c>
      <c r="D46" s="1" t="str">
        <f>"6115"</f>
        <v>6115</v>
      </c>
      <c r="E46" s="1" t="str">
        <f>"012961463"</f>
        <v>012961463</v>
      </c>
      <c r="F46" s="1" t="s">
        <v>435</v>
      </c>
      <c r="G46" s="3" t="s">
        <v>15</v>
      </c>
      <c r="H46" s="3" t="str">
        <f>"1"</f>
        <v>1</v>
      </c>
      <c r="I46" s="4" t="str">
        <f>"67000"</f>
        <v>67000</v>
      </c>
      <c r="J46" s="2">
        <v>45923</v>
      </c>
      <c r="K46" s="1" t="s">
        <v>436</v>
      </c>
    </row>
    <row r="47" spans="1:11" x14ac:dyDescent="0.35">
      <c r="A47" s="3" t="s">
        <v>93</v>
      </c>
      <c r="B47" s="1" t="s">
        <v>369</v>
      </c>
      <c r="C47" s="1" t="s">
        <v>372</v>
      </c>
      <c r="D47" s="1" t="str">
        <f>"2320"</f>
        <v>2320</v>
      </c>
      <c r="E47" s="1" t="str">
        <f>"011644815"</f>
        <v>011644815</v>
      </c>
      <c r="F47" s="1" t="s">
        <v>373</v>
      </c>
      <c r="G47" s="3" t="s">
        <v>15</v>
      </c>
      <c r="H47" s="3" t="str">
        <f>"1"</f>
        <v>1</v>
      </c>
      <c r="I47" s="4" t="str">
        <f>"5000"</f>
        <v>5000</v>
      </c>
      <c r="J47" s="2">
        <v>45922</v>
      </c>
      <c r="K47" s="1" t="s">
        <v>374</v>
      </c>
    </row>
    <row r="48" spans="1:11" x14ac:dyDescent="0.35">
      <c r="A48" s="3" t="s">
        <v>93</v>
      </c>
      <c r="B48" s="1" t="s">
        <v>437</v>
      </c>
      <c r="C48" s="1" t="s">
        <v>438</v>
      </c>
      <c r="D48" s="1" t="str">
        <f>"2340"</f>
        <v>2340</v>
      </c>
      <c r="E48" s="1" t="s">
        <v>439</v>
      </c>
      <c r="F48" s="1" t="s">
        <v>440</v>
      </c>
      <c r="G48" s="3" t="s">
        <v>15</v>
      </c>
      <c r="H48" s="3" t="str">
        <f>"1"</f>
        <v>1</v>
      </c>
      <c r="I48" s="4" t="str">
        <f>"5000"</f>
        <v>5000</v>
      </c>
      <c r="J48" s="2">
        <v>45919</v>
      </c>
      <c r="K48" s="1" t="s">
        <v>441</v>
      </c>
    </row>
    <row r="49" spans="1:11" x14ac:dyDescent="0.35">
      <c r="A49" s="3" t="s">
        <v>93</v>
      </c>
      <c r="B49" s="1" t="s">
        <v>565</v>
      </c>
      <c r="C49" s="1" t="s">
        <v>579</v>
      </c>
      <c r="D49" s="1" t="str">
        <f>"2330"</f>
        <v>2330</v>
      </c>
      <c r="E49" s="1" t="str">
        <f>"016587540"</f>
        <v>016587540</v>
      </c>
      <c r="F49" s="1" t="s">
        <v>580</v>
      </c>
      <c r="G49" s="3" t="s">
        <v>15</v>
      </c>
      <c r="H49" s="3" t="str">
        <f>"1"</f>
        <v>1</v>
      </c>
      <c r="I49" s="4" t="str">
        <f>"22063"</f>
        <v>22063</v>
      </c>
      <c r="J49" s="2">
        <v>45919</v>
      </c>
      <c r="K49" s="1" t="s">
        <v>581</v>
      </c>
    </row>
    <row r="50" spans="1:11" x14ac:dyDescent="0.35">
      <c r="A50" s="3" t="s">
        <v>93</v>
      </c>
      <c r="B50" s="1" t="s">
        <v>94</v>
      </c>
      <c r="C50" s="1" t="s">
        <v>100</v>
      </c>
      <c r="D50" s="1" t="str">
        <f>"5330"</f>
        <v>5330</v>
      </c>
      <c r="E50" s="1" t="str">
        <f>"010676837"</f>
        <v>010676837</v>
      </c>
      <c r="F50" s="1" t="s">
        <v>101</v>
      </c>
      <c r="G50" s="3" t="s">
        <v>15</v>
      </c>
      <c r="H50" s="3" t="str">
        <f>"17"</f>
        <v>17</v>
      </c>
      <c r="I50" s="4">
        <v>529.29999999999995</v>
      </c>
      <c r="J50" s="2">
        <v>45918</v>
      </c>
      <c r="K50" s="1" t="s">
        <v>97</v>
      </c>
    </row>
    <row r="51" spans="1:11" x14ac:dyDescent="0.35">
      <c r="A51" s="3" t="s">
        <v>93</v>
      </c>
      <c r="B51" s="1" t="s">
        <v>94</v>
      </c>
      <c r="C51" s="1" t="s">
        <v>102</v>
      </c>
      <c r="D51" s="1" t="str">
        <f>"5930"</f>
        <v>5930</v>
      </c>
      <c r="E51" s="1" t="str">
        <f>"011371623"</f>
        <v>011371623</v>
      </c>
      <c r="F51" s="1" t="s">
        <v>103</v>
      </c>
      <c r="G51" s="3" t="s">
        <v>15</v>
      </c>
      <c r="H51" s="3" t="str">
        <f>"3"</f>
        <v>3</v>
      </c>
      <c r="I51" s="4">
        <v>450.36</v>
      </c>
      <c r="J51" s="2">
        <v>45918</v>
      </c>
      <c r="K51" s="1" t="s">
        <v>97</v>
      </c>
    </row>
    <row r="52" spans="1:11" x14ac:dyDescent="0.35">
      <c r="A52" s="3" t="s">
        <v>93</v>
      </c>
      <c r="B52" s="1" t="s">
        <v>437</v>
      </c>
      <c r="C52" s="1" t="s">
        <v>442</v>
      </c>
      <c r="D52" s="1" t="str">
        <f>"6720"</f>
        <v>6720</v>
      </c>
      <c r="E52" s="1" t="s">
        <v>443</v>
      </c>
      <c r="F52" s="1" t="s">
        <v>444</v>
      </c>
      <c r="G52" s="3" t="s">
        <v>15</v>
      </c>
      <c r="H52" s="3" t="str">
        <f>"18"</f>
        <v>18</v>
      </c>
      <c r="I52" s="4" t="str">
        <f>"5635"</f>
        <v>5635</v>
      </c>
      <c r="J52" s="2">
        <v>45918</v>
      </c>
      <c r="K52" s="1" t="s">
        <v>445</v>
      </c>
    </row>
    <row r="53" spans="1:11" x14ac:dyDescent="0.35">
      <c r="A53" s="3" t="s">
        <v>93</v>
      </c>
      <c r="B53" s="1" t="s">
        <v>203</v>
      </c>
      <c r="C53" s="1" t="s">
        <v>207</v>
      </c>
      <c r="D53" s="1" t="str">
        <f>"1240"</f>
        <v>1240</v>
      </c>
      <c r="E53" s="1" t="str">
        <f>"015629459"</f>
        <v>015629459</v>
      </c>
      <c r="F53" s="1" t="s">
        <v>208</v>
      </c>
      <c r="G53" s="3" t="s">
        <v>15</v>
      </c>
      <c r="H53" s="3" t="str">
        <f>"4"</f>
        <v>4</v>
      </c>
      <c r="I53" s="4">
        <v>478.71</v>
      </c>
      <c r="J53" s="2">
        <v>45916</v>
      </c>
      <c r="K53" s="1" t="s">
        <v>209</v>
      </c>
    </row>
    <row r="54" spans="1:11" x14ac:dyDescent="0.35">
      <c r="A54" s="3" t="s">
        <v>93</v>
      </c>
      <c r="B54" s="1" t="s">
        <v>312</v>
      </c>
      <c r="C54" s="1" t="s">
        <v>315</v>
      </c>
      <c r="D54" s="1" t="str">
        <f>"7910"</f>
        <v>7910</v>
      </c>
      <c r="E54" s="1" t="s">
        <v>316</v>
      </c>
      <c r="F54" s="1" t="s">
        <v>317</v>
      </c>
      <c r="G54" s="3" t="s">
        <v>15</v>
      </c>
      <c r="H54" s="3" t="str">
        <f>"1"</f>
        <v>1</v>
      </c>
      <c r="I54" s="4">
        <v>43821.22</v>
      </c>
      <c r="J54" s="2">
        <v>45915</v>
      </c>
      <c r="K54" s="1" t="s">
        <v>318</v>
      </c>
    </row>
    <row r="55" spans="1:11" x14ac:dyDescent="0.35">
      <c r="A55" s="3" t="s">
        <v>93</v>
      </c>
      <c r="B55" s="1" t="s">
        <v>94</v>
      </c>
      <c r="C55" s="1" t="s">
        <v>95</v>
      </c>
      <c r="D55" s="1" t="str">
        <f>"1615"</f>
        <v>1615</v>
      </c>
      <c r="E55" s="1" t="str">
        <f>"011500028"</f>
        <v>011500028</v>
      </c>
      <c r="F55" s="1" t="s">
        <v>96</v>
      </c>
      <c r="G55" s="3" t="s">
        <v>15</v>
      </c>
      <c r="H55" s="3" t="str">
        <f>"6"</f>
        <v>6</v>
      </c>
      <c r="I55" s="4">
        <v>2480.04</v>
      </c>
      <c r="J55" s="2">
        <v>45912</v>
      </c>
      <c r="K55" s="1" t="s">
        <v>97</v>
      </c>
    </row>
    <row r="56" spans="1:11" x14ac:dyDescent="0.35">
      <c r="A56" s="3" t="s">
        <v>93</v>
      </c>
      <c r="B56" s="1" t="s">
        <v>104</v>
      </c>
      <c r="C56" s="1" t="s">
        <v>105</v>
      </c>
      <c r="D56" s="1" t="str">
        <f>"1095"</f>
        <v>1095</v>
      </c>
      <c r="E56" s="1" t="str">
        <f>"015432189"</f>
        <v>015432189</v>
      </c>
      <c r="F56" s="1" t="s">
        <v>106</v>
      </c>
      <c r="G56" s="3" t="s">
        <v>15</v>
      </c>
      <c r="H56" s="3" t="str">
        <f>"5"</f>
        <v>5</v>
      </c>
      <c r="I56" s="4" t="str">
        <f>"959"</f>
        <v>959</v>
      </c>
      <c r="J56" s="2">
        <v>45912</v>
      </c>
      <c r="K56" s="1" t="s">
        <v>107</v>
      </c>
    </row>
    <row r="57" spans="1:11" x14ac:dyDescent="0.35">
      <c r="A57" s="3" t="s">
        <v>93</v>
      </c>
      <c r="B57" s="1" t="s">
        <v>104</v>
      </c>
      <c r="C57" s="1" t="s">
        <v>108</v>
      </c>
      <c r="D57" s="1" t="str">
        <f>"1095"</f>
        <v>1095</v>
      </c>
      <c r="E57" s="1" t="str">
        <f>"015432189"</f>
        <v>015432189</v>
      </c>
      <c r="F57" s="1" t="s">
        <v>106</v>
      </c>
      <c r="G57" s="3" t="s">
        <v>15</v>
      </c>
      <c r="H57" s="3" t="str">
        <f>"5"</f>
        <v>5</v>
      </c>
      <c r="I57" s="4" t="str">
        <f>"959"</f>
        <v>959</v>
      </c>
      <c r="J57" s="2">
        <v>45912</v>
      </c>
      <c r="K57" s="1" t="s">
        <v>107</v>
      </c>
    </row>
    <row r="58" spans="1:11" x14ac:dyDescent="0.35">
      <c r="A58" s="3" t="s">
        <v>93</v>
      </c>
      <c r="B58" s="1" t="s">
        <v>387</v>
      </c>
      <c r="C58" s="1" t="s">
        <v>388</v>
      </c>
      <c r="D58" s="1" t="str">
        <f>"2320"</f>
        <v>2320</v>
      </c>
      <c r="E58" s="1" t="str">
        <f>"012157631"</f>
        <v>012157631</v>
      </c>
      <c r="F58" s="1" t="s">
        <v>117</v>
      </c>
      <c r="G58" s="3" t="s">
        <v>15</v>
      </c>
      <c r="H58" s="3" t="str">
        <f>"1"</f>
        <v>1</v>
      </c>
      <c r="I58" s="4" t="str">
        <f>"33082"</f>
        <v>33082</v>
      </c>
      <c r="J58" s="2">
        <v>45911</v>
      </c>
      <c r="K58" s="1" t="s">
        <v>389</v>
      </c>
    </row>
    <row r="59" spans="1:11" x14ac:dyDescent="0.35">
      <c r="A59" s="3" t="s">
        <v>93</v>
      </c>
      <c r="B59" s="1" t="s">
        <v>109</v>
      </c>
      <c r="C59" s="1" t="s">
        <v>110</v>
      </c>
      <c r="D59" s="1" t="str">
        <f>"1095"</f>
        <v>1095</v>
      </c>
      <c r="E59" s="1" t="str">
        <f>"013637100"</f>
        <v>013637100</v>
      </c>
      <c r="F59" s="1" t="s">
        <v>111</v>
      </c>
      <c r="G59" s="3" t="s">
        <v>15</v>
      </c>
      <c r="H59" s="3" t="str">
        <f>"4"</f>
        <v>4</v>
      </c>
      <c r="I59" s="4">
        <v>161.13</v>
      </c>
      <c r="J59" s="2">
        <v>45909</v>
      </c>
      <c r="K59" s="1" t="s">
        <v>112</v>
      </c>
    </row>
    <row r="60" spans="1:11" x14ac:dyDescent="0.35">
      <c r="A60" s="3" t="s">
        <v>93</v>
      </c>
      <c r="B60" s="1" t="s">
        <v>109</v>
      </c>
      <c r="C60" s="1" t="s">
        <v>113</v>
      </c>
      <c r="D60" s="1" t="str">
        <f>"2320"</f>
        <v>2320</v>
      </c>
      <c r="E60" s="1" t="str">
        <f>"012507367"</f>
        <v>012507367</v>
      </c>
      <c r="F60" s="1" t="s">
        <v>114</v>
      </c>
      <c r="G60" s="3" t="s">
        <v>15</v>
      </c>
      <c r="H60" s="3" t="str">
        <f>"1"</f>
        <v>1</v>
      </c>
      <c r="I60" s="4" t="str">
        <f>"38530"</f>
        <v>38530</v>
      </c>
      <c r="J60" s="2">
        <v>45909</v>
      </c>
      <c r="K60" s="1" t="s">
        <v>115</v>
      </c>
    </row>
    <row r="61" spans="1:11" x14ac:dyDescent="0.35">
      <c r="A61" s="3" t="s">
        <v>93</v>
      </c>
      <c r="B61" s="1" t="s">
        <v>109</v>
      </c>
      <c r="C61" s="1" t="s">
        <v>116</v>
      </c>
      <c r="D61" s="1" t="str">
        <f>"2320"</f>
        <v>2320</v>
      </c>
      <c r="E61" s="1" t="str">
        <f>"014364773"</f>
        <v>014364773</v>
      </c>
      <c r="F61" s="1" t="s">
        <v>117</v>
      </c>
      <c r="G61" s="3" t="s">
        <v>15</v>
      </c>
      <c r="H61" s="3" t="str">
        <f>"1"</f>
        <v>1</v>
      </c>
      <c r="I61" s="4" t="str">
        <f>"21046"</f>
        <v>21046</v>
      </c>
      <c r="J61" s="2">
        <v>45909</v>
      </c>
      <c r="K61" s="1" t="s">
        <v>118</v>
      </c>
    </row>
    <row r="62" spans="1:11" x14ac:dyDescent="0.35">
      <c r="A62" s="3" t="s">
        <v>93</v>
      </c>
      <c r="B62" s="1" t="s">
        <v>109</v>
      </c>
      <c r="C62" s="1" t="s">
        <v>123</v>
      </c>
      <c r="D62" s="1" t="str">
        <f>"4310"</f>
        <v>4310</v>
      </c>
      <c r="E62" s="1" t="s">
        <v>124</v>
      </c>
      <c r="F62" s="1" t="s">
        <v>125</v>
      </c>
      <c r="G62" s="3" t="s">
        <v>15</v>
      </c>
      <c r="H62" s="3" t="str">
        <f>"1"</f>
        <v>1</v>
      </c>
      <c r="I62" s="4" t="str">
        <f>"3000"</f>
        <v>3000</v>
      </c>
      <c r="J62" s="2">
        <v>45909</v>
      </c>
      <c r="K62" s="1" t="s">
        <v>126</v>
      </c>
    </row>
    <row r="63" spans="1:11" x14ac:dyDescent="0.35">
      <c r="A63" s="3" t="s">
        <v>93</v>
      </c>
      <c r="B63" s="1" t="s">
        <v>109</v>
      </c>
      <c r="C63" s="1" t="s">
        <v>127</v>
      </c>
      <c r="D63" s="1" t="str">
        <f>"5120"</f>
        <v>5120</v>
      </c>
      <c r="E63" s="1" t="s">
        <v>128</v>
      </c>
      <c r="F63" s="1" t="s">
        <v>129</v>
      </c>
      <c r="G63" s="3" t="s">
        <v>15</v>
      </c>
      <c r="H63" s="3" t="str">
        <f>"1"</f>
        <v>1</v>
      </c>
      <c r="I63" s="4">
        <v>331.73</v>
      </c>
      <c r="J63" s="2">
        <v>45909</v>
      </c>
      <c r="K63" s="1" t="s">
        <v>130</v>
      </c>
    </row>
    <row r="64" spans="1:11" x14ac:dyDescent="0.35">
      <c r="A64" s="3" t="s">
        <v>93</v>
      </c>
      <c r="B64" s="1" t="s">
        <v>109</v>
      </c>
      <c r="C64" s="1" t="s">
        <v>131</v>
      </c>
      <c r="D64" s="1" t="str">
        <f>"6625"</f>
        <v>6625</v>
      </c>
      <c r="E64" s="1" t="str">
        <f>"012901922"</f>
        <v>012901922</v>
      </c>
      <c r="F64" s="1" t="s">
        <v>132</v>
      </c>
      <c r="G64" s="3" t="s">
        <v>15</v>
      </c>
      <c r="H64" s="3" t="str">
        <f>"1"</f>
        <v>1</v>
      </c>
      <c r="I64" s="4">
        <v>446.15</v>
      </c>
      <c r="J64" s="2">
        <v>45909</v>
      </c>
      <c r="K64" s="1" t="s">
        <v>133</v>
      </c>
    </row>
    <row r="65" spans="1:11" x14ac:dyDescent="0.35">
      <c r="A65" s="3" t="s">
        <v>93</v>
      </c>
      <c r="B65" s="1" t="s">
        <v>109</v>
      </c>
      <c r="C65" s="1" t="s">
        <v>134</v>
      </c>
      <c r="D65" s="1" t="str">
        <f>"8465"</f>
        <v>8465</v>
      </c>
      <c r="E65" s="1" t="str">
        <f>"016259205"</f>
        <v>016259205</v>
      </c>
      <c r="F65" s="1" t="s">
        <v>135</v>
      </c>
      <c r="G65" s="3" t="s">
        <v>15</v>
      </c>
      <c r="H65" s="3" t="str">
        <f>"6"</f>
        <v>6</v>
      </c>
      <c r="I65" s="4">
        <v>22.92</v>
      </c>
      <c r="J65" s="2">
        <v>45909</v>
      </c>
      <c r="K65" s="1" t="s">
        <v>136</v>
      </c>
    </row>
    <row r="66" spans="1:11" x14ac:dyDescent="0.35">
      <c r="A66" s="3" t="s">
        <v>93</v>
      </c>
      <c r="B66" s="1" t="s">
        <v>369</v>
      </c>
      <c r="C66" s="1" t="s">
        <v>377</v>
      </c>
      <c r="D66" s="1" t="str">
        <f>"5845"</f>
        <v>5845</v>
      </c>
      <c r="E66" s="1" t="str">
        <f>"011831132"</f>
        <v>011831132</v>
      </c>
      <c r="F66" s="1" t="s">
        <v>378</v>
      </c>
      <c r="G66" s="3" t="s">
        <v>15</v>
      </c>
      <c r="H66" s="3" t="str">
        <f>"7"</f>
        <v>7</v>
      </c>
      <c r="I66" s="4" t="str">
        <f>"16844"</f>
        <v>16844</v>
      </c>
      <c r="J66" s="2">
        <v>45909</v>
      </c>
      <c r="K66" s="1" t="s">
        <v>379</v>
      </c>
    </row>
    <row r="67" spans="1:11" x14ac:dyDescent="0.35">
      <c r="A67" s="3" t="s">
        <v>93</v>
      </c>
      <c r="B67" s="1" t="s">
        <v>408</v>
      </c>
      <c r="C67" s="1" t="s">
        <v>422</v>
      </c>
      <c r="D67" s="1" t="str">
        <f>"7110"</f>
        <v>7110</v>
      </c>
      <c r="E67" s="1" t="str">
        <f>"013091972"</f>
        <v>013091972</v>
      </c>
      <c r="F67" s="1" t="s">
        <v>423</v>
      </c>
      <c r="G67" s="3" t="s">
        <v>15</v>
      </c>
      <c r="H67" s="3" t="str">
        <f>"1"</f>
        <v>1</v>
      </c>
      <c r="I67" s="4">
        <v>5635.25</v>
      </c>
      <c r="J67" s="2">
        <v>45909</v>
      </c>
      <c r="K67" s="1" t="s">
        <v>424</v>
      </c>
    </row>
    <row r="68" spans="1:11" x14ac:dyDescent="0.35">
      <c r="A68" s="3" t="s">
        <v>93</v>
      </c>
      <c r="B68" s="1" t="s">
        <v>408</v>
      </c>
      <c r="C68" s="1" t="s">
        <v>425</v>
      </c>
      <c r="D68" s="1" t="str">
        <f>"7110"</f>
        <v>7110</v>
      </c>
      <c r="E68" s="1" t="str">
        <f>"016145817"</f>
        <v>016145817</v>
      </c>
      <c r="F68" s="1" t="s">
        <v>423</v>
      </c>
      <c r="G68" s="3" t="s">
        <v>15</v>
      </c>
      <c r="H68" s="3" t="str">
        <f>"1"</f>
        <v>1</v>
      </c>
      <c r="I68" s="4">
        <v>5036.08</v>
      </c>
      <c r="J68" s="2">
        <v>45909</v>
      </c>
      <c r="K68" s="1" t="s">
        <v>424</v>
      </c>
    </row>
    <row r="69" spans="1:11" x14ac:dyDescent="0.35">
      <c r="A69" s="3" t="s">
        <v>93</v>
      </c>
      <c r="B69" s="1" t="s">
        <v>408</v>
      </c>
      <c r="C69" s="1" t="s">
        <v>426</v>
      </c>
      <c r="D69" s="1" t="str">
        <f>"7125"</f>
        <v>7125</v>
      </c>
      <c r="E69" s="1" t="s">
        <v>427</v>
      </c>
      <c r="F69" s="1" t="s">
        <v>428</v>
      </c>
      <c r="G69" s="3" t="s">
        <v>15</v>
      </c>
      <c r="H69" s="3" t="str">
        <f>"1"</f>
        <v>1</v>
      </c>
      <c r="I69" s="4" t="str">
        <f>"500"</f>
        <v>500</v>
      </c>
      <c r="J69" s="2">
        <v>45909</v>
      </c>
      <c r="K69" s="1" t="s">
        <v>429</v>
      </c>
    </row>
    <row r="70" spans="1:11" x14ac:dyDescent="0.35">
      <c r="A70" s="3" t="s">
        <v>93</v>
      </c>
      <c r="B70" s="1" t="s">
        <v>565</v>
      </c>
      <c r="C70" s="1" t="s">
        <v>566</v>
      </c>
      <c r="D70" s="1" t="str">
        <f>"1940"</f>
        <v>1940</v>
      </c>
      <c r="E70" s="1" t="s">
        <v>567</v>
      </c>
      <c r="F70" s="1" t="s">
        <v>568</v>
      </c>
      <c r="G70" s="3" t="s">
        <v>15</v>
      </c>
      <c r="H70" s="3" t="str">
        <f>"1"</f>
        <v>1</v>
      </c>
      <c r="I70" s="4" t="str">
        <f>"176714"</f>
        <v>176714</v>
      </c>
      <c r="J70" s="2">
        <v>45909</v>
      </c>
      <c r="K70" s="1" t="s">
        <v>569</v>
      </c>
    </row>
    <row r="71" spans="1:11" x14ac:dyDescent="0.35">
      <c r="A71" s="3" t="s">
        <v>93</v>
      </c>
      <c r="B71" s="1" t="s">
        <v>565</v>
      </c>
      <c r="C71" s="1" t="s">
        <v>589</v>
      </c>
      <c r="D71" s="1" t="str">
        <f>"4140"</f>
        <v>4140</v>
      </c>
      <c r="E71" s="1" t="s">
        <v>590</v>
      </c>
      <c r="F71" s="1" t="s">
        <v>591</v>
      </c>
      <c r="G71" s="3" t="s">
        <v>15</v>
      </c>
      <c r="H71" s="3" t="str">
        <f>"1"</f>
        <v>1</v>
      </c>
      <c r="I71" s="4" t="str">
        <f>"400"</f>
        <v>400</v>
      </c>
      <c r="J71" s="2">
        <v>45909</v>
      </c>
      <c r="K71" s="1" t="s">
        <v>592</v>
      </c>
    </row>
    <row r="72" spans="1:11" x14ac:dyDescent="0.35">
      <c r="A72" s="3" t="s">
        <v>93</v>
      </c>
      <c r="B72" s="1" t="s">
        <v>267</v>
      </c>
      <c r="C72" s="1" t="s">
        <v>277</v>
      </c>
      <c r="D72" s="1" t="str">
        <f>"2340"</f>
        <v>2340</v>
      </c>
      <c r="E72" s="1" t="s">
        <v>278</v>
      </c>
      <c r="F72" s="1" t="s">
        <v>279</v>
      </c>
      <c r="G72" s="3" t="s">
        <v>15</v>
      </c>
      <c r="H72" s="3" t="str">
        <f>"1"</f>
        <v>1</v>
      </c>
      <c r="I72" s="4">
        <v>12315.66</v>
      </c>
      <c r="J72" s="2">
        <v>45908</v>
      </c>
      <c r="K72" s="1" t="s">
        <v>280</v>
      </c>
    </row>
    <row r="73" spans="1:11" x14ac:dyDescent="0.35">
      <c r="A73" s="3" t="s">
        <v>93</v>
      </c>
      <c r="B73" s="1" t="s">
        <v>137</v>
      </c>
      <c r="C73" s="1" t="s">
        <v>141</v>
      </c>
      <c r="D73" s="1" t="str">
        <f>"2920"</f>
        <v>2920</v>
      </c>
      <c r="E73" s="1" t="s">
        <v>142</v>
      </c>
      <c r="F73" s="1" t="s">
        <v>143</v>
      </c>
      <c r="G73" s="3" t="s">
        <v>15</v>
      </c>
      <c r="H73" s="3" t="str">
        <f>"1"</f>
        <v>1</v>
      </c>
      <c r="I73" s="4" t="str">
        <f>"24000"</f>
        <v>24000</v>
      </c>
      <c r="J73" s="2">
        <v>45904</v>
      </c>
      <c r="K73" s="1" t="s">
        <v>144</v>
      </c>
    </row>
    <row r="74" spans="1:11" x14ac:dyDescent="0.35">
      <c r="A74" s="3" t="s">
        <v>93</v>
      </c>
      <c r="B74" s="1" t="s">
        <v>137</v>
      </c>
      <c r="C74" s="1" t="s">
        <v>170</v>
      </c>
      <c r="D74" s="1" t="str">
        <f>"5660"</f>
        <v>5660</v>
      </c>
      <c r="E74" s="1" t="str">
        <f>"014956363"</f>
        <v>014956363</v>
      </c>
      <c r="F74" s="1" t="s">
        <v>171</v>
      </c>
      <c r="G74" s="3" t="s">
        <v>15</v>
      </c>
      <c r="H74" s="3" t="str">
        <f>"10"</f>
        <v>10</v>
      </c>
      <c r="I74" s="4">
        <v>809.91</v>
      </c>
      <c r="J74" s="2">
        <v>45904</v>
      </c>
      <c r="K74" s="1" t="s">
        <v>172</v>
      </c>
    </row>
    <row r="75" spans="1:11" x14ac:dyDescent="0.35">
      <c r="A75" s="3" t="s">
        <v>93</v>
      </c>
      <c r="B75" s="1" t="s">
        <v>137</v>
      </c>
      <c r="C75" s="1" t="s">
        <v>200</v>
      </c>
      <c r="D75" s="1" t="str">
        <f>"8465"</f>
        <v>8465</v>
      </c>
      <c r="E75" s="1" t="str">
        <f>"015248847"</f>
        <v>015248847</v>
      </c>
      <c r="F75" s="1" t="s">
        <v>201</v>
      </c>
      <c r="G75" s="3" t="s">
        <v>15</v>
      </c>
      <c r="H75" s="3" t="str">
        <f>"18"</f>
        <v>18</v>
      </c>
      <c r="I75" s="4">
        <v>16.149999999999999</v>
      </c>
      <c r="J75" s="2">
        <v>45904</v>
      </c>
      <c r="K75" s="1" t="s">
        <v>202</v>
      </c>
    </row>
    <row r="76" spans="1:11" x14ac:dyDescent="0.35">
      <c r="A76" s="3" t="s">
        <v>93</v>
      </c>
      <c r="B76" s="1" t="s">
        <v>450</v>
      </c>
      <c r="C76" s="1" t="s">
        <v>467</v>
      </c>
      <c r="D76" s="1" t="str">
        <f>"2590"</f>
        <v>2590</v>
      </c>
      <c r="E76" s="1" t="str">
        <f>"219135611"</f>
        <v>219135611</v>
      </c>
      <c r="F76" s="1" t="s">
        <v>468</v>
      </c>
      <c r="G76" s="3" t="s">
        <v>15</v>
      </c>
      <c r="H76" s="3" t="str">
        <f>"2"</f>
        <v>2</v>
      </c>
      <c r="I76" s="4">
        <v>142.27000000000001</v>
      </c>
      <c r="J76" s="2">
        <v>45904</v>
      </c>
      <c r="K76" s="1" t="s">
        <v>469</v>
      </c>
    </row>
    <row r="77" spans="1:11" x14ac:dyDescent="0.35">
      <c r="A77" s="3" t="s">
        <v>93</v>
      </c>
      <c r="B77" s="1" t="s">
        <v>450</v>
      </c>
      <c r="C77" s="1" t="s">
        <v>491</v>
      </c>
      <c r="D77" s="1" t="str">
        <f>"4110"</f>
        <v>4110</v>
      </c>
      <c r="E77" s="1" t="s">
        <v>492</v>
      </c>
      <c r="F77" s="1" t="s">
        <v>493</v>
      </c>
      <c r="G77" s="3" t="s">
        <v>15</v>
      </c>
      <c r="H77" s="3" t="str">
        <f>"2"</f>
        <v>2</v>
      </c>
      <c r="I77" s="4" t="str">
        <f>"300"</f>
        <v>300</v>
      </c>
      <c r="J77" s="2">
        <v>45904</v>
      </c>
      <c r="K77" s="1" t="s">
        <v>494</v>
      </c>
    </row>
    <row r="78" spans="1:11" x14ac:dyDescent="0.35">
      <c r="A78" s="3" t="s">
        <v>93</v>
      </c>
      <c r="B78" s="1" t="s">
        <v>450</v>
      </c>
      <c r="C78" s="1" t="s">
        <v>495</v>
      </c>
      <c r="D78" s="1" t="str">
        <f>"4240"</f>
        <v>4240</v>
      </c>
      <c r="E78" s="1" t="str">
        <f>"016772176"</f>
        <v>016772176</v>
      </c>
      <c r="F78" s="1" t="s">
        <v>496</v>
      </c>
      <c r="G78" s="3" t="s">
        <v>15</v>
      </c>
      <c r="H78" s="3" t="str">
        <f>"1"</f>
        <v>1</v>
      </c>
      <c r="I78" s="4">
        <v>99895.42</v>
      </c>
      <c r="J78" s="2">
        <v>45904</v>
      </c>
      <c r="K78" s="1" t="s">
        <v>497</v>
      </c>
    </row>
    <row r="79" spans="1:11" x14ac:dyDescent="0.35">
      <c r="A79" s="3" t="s">
        <v>93</v>
      </c>
      <c r="B79" s="1" t="s">
        <v>450</v>
      </c>
      <c r="C79" s="1" t="s">
        <v>498</v>
      </c>
      <c r="D79" s="1" t="str">
        <f>"4240"</f>
        <v>4240</v>
      </c>
      <c r="E79" s="1" t="str">
        <f>"016772176"</f>
        <v>016772176</v>
      </c>
      <c r="F79" s="1" t="s">
        <v>496</v>
      </c>
      <c r="G79" s="3" t="s">
        <v>15</v>
      </c>
      <c r="H79" s="3" t="str">
        <f>"1"</f>
        <v>1</v>
      </c>
      <c r="I79" s="4">
        <v>99895.42</v>
      </c>
      <c r="J79" s="2">
        <v>45904</v>
      </c>
      <c r="K79" s="1" t="s">
        <v>497</v>
      </c>
    </row>
    <row r="80" spans="1:11" x14ac:dyDescent="0.35">
      <c r="A80" s="3" t="s">
        <v>93</v>
      </c>
      <c r="B80" s="1" t="s">
        <v>450</v>
      </c>
      <c r="C80" s="1" t="s">
        <v>517</v>
      </c>
      <c r="D80" s="1" t="str">
        <f>"5340"</f>
        <v>5340</v>
      </c>
      <c r="E80" s="1" t="str">
        <f>"015570419"</f>
        <v>015570419</v>
      </c>
      <c r="F80" s="1" t="s">
        <v>518</v>
      </c>
      <c r="G80" s="3" t="s">
        <v>19</v>
      </c>
      <c r="H80" s="3" t="str">
        <f>"342"</f>
        <v>342</v>
      </c>
      <c r="I80" s="4">
        <v>38.159999999999997</v>
      </c>
      <c r="J80" s="2">
        <v>45904</v>
      </c>
      <c r="K80" s="1" t="s">
        <v>519</v>
      </c>
    </row>
    <row r="81" spans="1:11" x14ac:dyDescent="0.35">
      <c r="A81" s="3" t="s">
        <v>93</v>
      </c>
      <c r="B81" s="1" t="s">
        <v>450</v>
      </c>
      <c r="C81" s="1" t="s">
        <v>522</v>
      </c>
      <c r="D81" s="1" t="str">
        <f>"6115"</f>
        <v>6115</v>
      </c>
      <c r="E81" s="1" t="str">
        <f>"015669209"</f>
        <v>015669209</v>
      </c>
      <c r="F81" s="1" t="s">
        <v>523</v>
      </c>
      <c r="G81" s="3" t="s">
        <v>15</v>
      </c>
      <c r="H81" s="3" t="str">
        <f>"2"</f>
        <v>2</v>
      </c>
      <c r="I81" s="4">
        <v>1114.8800000000001</v>
      </c>
      <c r="J81" s="2">
        <v>45904</v>
      </c>
      <c r="K81" s="1" t="s">
        <v>524</v>
      </c>
    </row>
    <row r="82" spans="1:11" x14ac:dyDescent="0.35">
      <c r="A82" s="3" t="s">
        <v>93</v>
      </c>
      <c r="B82" s="1" t="s">
        <v>267</v>
      </c>
      <c r="C82" s="1" t="s">
        <v>268</v>
      </c>
      <c r="D82" s="1" t="str">
        <f>"1240"</f>
        <v>1240</v>
      </c>
      <c r="E82" s="1" t="str">
        <f>"015403690"</f>
        <v>015403690</v>
      </c>
      <c r="F82" s="1" t="s">
        <v>269</v>
      </c>
      <c r="G82" s="3" t="s">
        <v>15</v>
      </c>
      <c r="H82" s="3" t="str">
        <f>"4"</f>
        <v>4</v>
      </c>
      <c r="I82" s="4" t="str">
        <f>"342"</f>
        <v>342</v>
      </c>
      <c r="J82" s="2">
        <v>45903</v>
      </c>
      <c r="K82" s="1" t="s">
        <v>270</v>
      </c>
    </row>
    <row r="83" spans="1:11" x14ac:dyDescent="0.35">
      <c r="A83" s="3" t="s">
        <v>93</v>
      </c>
      <c r="B83" s="1" t="s">
        <v>446</v>
      </c>
      <c r="C83" s="1" t="s">
        <v>447</v>
      </c>
      <c r="D83" s="1" t="str">
        <f>"8150"</f>
        <v>8150</v>
      </c>
      <c r="E83" s="1" t="str">
        <f>"014638553"</f>
        <v>014638553</v>
      </c>
      <c r="F83" s="1" t="s">
        <v>448</v>
      </c>
      <c r="G83" s="3" t="s">
        <v>15</v>
      </c>
      <c r="H83" s="3" t="str">
        <f>"1"</f>
        <v>1</v>
      </c>
      <c r="I83" s="4">
        <v>7662.92</v>
      </c>
      <c r="J83" s="2">
        <v>45903</v>
      </c>
      <c r="K83" s="1" t="s">
        <v>449</v>
      </c>
    </row>
    <row r="84" spans="1:11" x14ac:dyDescent="0.35">
      <c r="A84" s="3" t="s">
        <v>93</v>
      </c>
      <c r="B84" s="1" t="s">
        <v>247</v>
      </c>
      <c r="C84" s="1" t="s">
        <v>252</v>
      </c>
      <c r="D84" s="1" t="str">
        <f>"6545"</f>
        <v>6545</v>
      </c>
      <c r="E84" s="1" t="str">
        <f>"015396450"</f>
        <v>015396450</v>
      </c>
      <c r="F84" s="1" t="s">
        <v>253</v>
      </c>
      <c r="G84" s="3" t="s">
        <v>15</v>
      </c>
      <c r="H84" s="3" t="str">
        <f>"4"</f>
        <v>4</v>
      </c>
      <c r="I84" s="4">
        <v>604.29999999999995</v>
      </c>
      <c r="J84" s="2">
        <v>45902</v>
      </c>
      <c r="K84" s="1" t="s">
        <v>251</v>
      </c>
    </row>
    <row r="85" spans="1:11" x14ac:dyDescent="0.35">
      <c r="A85" s="3" t="s">
        <v>93</v>
      </c>
      <c r="B85" s="1" t="s">
        <v>450</v>
      </c>
      <c r="C85" s="1" t="s">
        <v>464</v>
      </c>
      <c r="D85" s="1" t="str">
        <f>"2330"</f>
        <v>2330</v>
      </c>
      <c r="E85" s="1" t="str">
        <f>"016325212"</f>
        <v>016325212</v>
      </c>
      <c r="F85" s="1" t="s">
        <v>465</v>
      </c>
      <c r="G85" s="3" t="s">
        <v>15</v>
      </c>
      <c r="H85" s="3" t="str">
        <f>"1"</f>
        <v>1</v>
      </c>
      <c r="I85" s="4" t="str">
        <f>"80427"</f>
        <v>80427</v>
      </c>
      <c r="J85" s="2">
        <v>45902</v>
      </c>
      <c r="K85" s="1" t="s">
        <v>466</v>
      </c>
    </row>
    <row r="86" spans="1:11" x14ac:dyDescent="0.35">
      <c r="A86" s="3" t="s">
        <v>93</v>
      </c>
      <c r="B86" s="1" t="s">
        <v>267</v>
      </c>
      <c r="C86" s="1" t="s">
        <v>273</v>
      </c>
      <c r="D86" s="1" t="str">
        <f>"2320"</f>
        <v>2320</v>
      </c>
      <c r="E86" s="1" t="s">
        <v>274</v>
      </c>
      <c r="F86" s="1" t="s">
        <v>275</v>
      </c>
      <c r="G86" s="3" t="s">
        <v>15</v>
      </c>
      <c r="H86" s="3" t="str">
        <f>"1"</f>
        <v>1</v>
      </c>
      <c r="I86" s="4" t="str">
        <f>"10302"</f>
        <v>10302</v>
      </c>
      <c r="J86" s="2">
        <v>45897</v>
      </c>
      <c r="K86" s="1" t="s">
        <v>276</v>
      </c>
    </row>
    <row r="87" spans="1:11" x14ac:dyDescent="0.35">
      <c r="A87" s="3" t="s">
        <v>93</v>
      </c>
      <c r="B87" s="1" t="s">
        <v>450</v>
      </c>
      <c r="C87" s="1" t="s">
        <v>474</v>
      </c>
      <c r="D87" s="1" t="str">
        <f>"3210"</f>
        <v>3210</v>
      </c>
      <c r="E87" s="1" t="s">
        <v>471</v>
      </c>
      <c r="F87" s="1" t="s">
        <v>472</v>
      </c>
      <c r="G87" s="3" t="s">
        <v>15</v>
      </c>
      <c r="H87" s="3" t="str">
        <f>"4"</f>
        <v>4</v>
      </c>
      <c r="I87" s="4" t="str">
        <f>"5700"</f>
        <v>5700</v>
      </c>
      <c r="J87" s="2">
        <v>45894</v>
      </c>
      <c r="K87" s="1" t="s">
        <v>473</v>
      </c>
    </row>
    <row r="88" spans="1:11" x14ac:dyDescent="0.35">
      <c r="A88" s="3" t="s">
        <v>93</v>
      </c>
      <c r="B88" s="1" t="s">
        <v>242</v>
      </c>
      <c r="C88" s="1" t="s">
        <v>243</v>
      </c>
      <c r="D88" s="1" t="str">
        <f>"2320"</f>
        <v>2320</v>
      </c>
      <c r="E88" s="1" t="str">
        <f>"015721119"</f>
        <v>015721119</v>
      </c>
      <c r="F88" s="1" t="s">
        <v>117</v>
      </c>
      <c r="G88" s="3" t="s">
        <v>15</v>
      </c>
      <c r="H88" s="3" t="str">
        <f>"1"</f>
        <v>1</v>
      </c>
      <c r="I88" s="4" t="str">
        <f>"33082"</f>
        <v>33082</v>
      </c>
      <c r="J88" s="2">
        <v>45891</v>
      </c>
      <c r="K88" s="1" t="s">
        <v>244</v>
      </c>
    </row>
    <row r="89" spans="1:11" x14ac:dyDescent="0.35">
      <c r="A89" s="3" t="s">
        <v>93</v>
      </c>
      <c r="B89" s="1" t="s">
        <v>408</v>
      </c>
      <c r="C89" s="1" t="s">
        <v>412</v>
      </c>
      <c r="D89" s="1" t="str">
        <f>"2310"</f>
        <v>2310</v>
      </c>
      <c r="E89" s="1" t="s">
        <v>413</v>
      </c>
      <c r="F89" s="1" t="s">
        <v>414</v>
      </c>
      <c r="G89" s="3" t="s">
        <v>15</v>
      </c>
      <c r="H89" s="3" t="str">
        <f>"1"</f>
        <v>1</v>
      </c>
      <c r="I89" s="4" t="str">
        <f>"21488"</f>
        <v>21488</v>
      </c>
      <c r="J89" s="2">
        <v>45891</v>
      </c>
      <c r="K89" s="1" t="s">
        <v>415</v>
      </c>
    </row>
    <row r="90" spans="1:11" x14ac:dyDescent="0.35">
      <c r="A90" s="3" t="s">
        <v>93</v>
      </c>
      <c r="B90" s="1" t="s">
        <v>319</v>
      </c>
      <c r="C90" s="1" t="s">
        <v>328</v>
      </c>
      <c r="D90" s="1" t="str">
        <f>"3610"</f>
        <v>3610</v>
      </c>
      <c r="E90" s="1" t="s">
        <v>329</v>
      </c>
      <c r="F90" s="1" t="s">
        <v>330</v>
      </c>
      <c r="G90" s="3" t="s">
        <v>15</v>
      </c>
      <c r="H90" s="3" t="str">
        <f>"1"</f>
        <v>1</v>
      </c>
      <c r="I90" s="4">
        <v>57668.95</v>
      </c>
      <c r="J90" s="2">
        <v>45884</v>
      </c>
      <c r="K90" s="1" t="s">
        <v>331</v>
      </c>
    </row>
    <row r="91" spans="1:11" x14ac:dyDescent="0.35">
      <c r="A91" s="3" t="s">
        <v>93</v>
      </c>
      <c r="B91" s="1" t="s">
        <v>319</v>
      </c>
      <c r="C91" s="1" t="s">
        <v>332</v>
      </c>
      <c r="D91" s="1" t="str">
        <f>"4140"</f>
        <v>4140</v>
      </c>
      <c r="E91" s="1" t="s">
        <v>333</v>
      </c>
      <c r="F91" s="1" t="s">
        <v>334</v>
      </c>
      <c r="G91" s="3" t="s">
        <v>15</v>
      </c>
      <c r="H91" s="3" t="str">
        <f>"2"</f>
        <v>2</v>
      </c>
      <c r="I91" s="4" t="str">
        <f>"950"</f>
        <v>950</v>
      </c>
      <c r="J91" s="2">
        <v>45884</v>
      </c>
      <c r="K91" s="1" t="s">
        <v>335</v>
      </c>
    </row>
    <row r="92" spans="1:11" x14ac:dyDescent="0.35">
      <c r="A92" s="3" t="s">
        <v>93</v>
      </c>
      <c r="B92" s="1" t="s">
        <v>319</v>
      </c>
      <c r="C92" s="1" t="s">
        <v>350</v>
      </c>
      <c r="D92" s="1" t="str">
        <f>"4910"</f>
        <v>4910</v>
      </c>
      <c r="E92" s="1" t="str">
        <f>"014597080"</f>
        <v>014597080</v>
      </c>
      <c r="F92" s="1" t="s">
        <v>351</v>
      </c>
      <c r="G92" s="3" t="s">
        <v>15</v>
      </c>
      <c r="H92" s="3" t="str">
        <f>"1"</f>
        <v>1</v>
      </c>
      <c r="I92" s="4">
        <v>664.22</v>
      </c>
      <c r="J92" s="2">
        <v>45884</v>
      </c>
      <c r="K92" s="1" t="s">
        <v>352</v>
      </c>
    </row>
    <row r="93" spans="1:11" x14ac:dyDescent="0.35">
      <c r="A93" s="3" t="s">
        <v>93</v>
      </c>
      <c r="B93" s="1" t="s">
        <v>450</v>
      </c>
      <c r="C93" s="1" t="s">
        <v>451</v>
      </c>
      <c r="D93" s="1" t="str">
        <f>"1740"</f>
        <v>1740</v>
      </c>
      <c r="E93" s="1" t="str">
        <f>"014685158"</f>
        <v>014685158</v>
      </c>
      <c r="F93" s="1" t="s">
        <v>452</v>
      </c>
      <c r="G93" s="3" t="s">
        <v>15</v>
      </c>
      <c r="H93" s="3" t="str">
        <f>"1"</f>
        <v>1</v>
      </c>
      <c r="I93" s="4" t="str">
        <f>"32982"</f>
        <v>32982</v>
      </c>
      <c r="J93" s="2">
        <v>45884</v>
      </c>
      <c r="K93" s="1" t="s">
        <v>453</v>
      </c>
    </row>
    <row r="94" spans="1:11" x14ac:dyDescent="0.35">
      <c r="A94" s="3" t="s">
        <v>93</v>
      </c>
      <c r="B94" s="1" t="s">
        <v>450</v>
      </c>
      <c r="C94" s="1" t="s">
        <v>470</v>
      </c>
      <c r="D94" s="1" t="str">
        <f>"3210"</f>
        <v>3210</v>
      </c>
      <c r="E94" s="1" t="s">
        <v>471</v>
      </c>
      <c r="F94" s="1" t="s">
        <v>472</v>
      </c>
      <c r="G94" s="3" t="s">
        <v>15</v>
      </c>
      <c r="H94" s="3" t="str">
        <f>"2"</f>
        <v>2</v>
      </c>
      <c r="I94" s="4" t="str">
        <f>"7450"</f>
        <v>7450</v>
      </c>
      <c r="J94" s="2">
        <v>45884</v>
      </c>
      <c r="K94" s="1" t="s">
        <v>473</v>
      </c>
    </row>
    <row r="95" spans="1:11" x14ac:dyDescent="0.35">
      <c r="A95" s="3" t="s">
        <v>93</v>
      </c>
      <c r="B95" s="1" t="s">
        <v>450</v>
      </c>
      <c r="C95" s="1" t="s">
        <v>475</v>
      </c>
      <c r="D95" s="1" t="str">
        <f>"3210"</f>
        <v>3210</v>
      </c>
      <c r="E95" s="1" t="s">
        <v>471</v>
      </c>
      <c r="F95" s="1" t="s">
        <v>472</v>
      </c>
      <c r="G95" s="3" t="s">
        <v>15</v>
      </c>
      <c r="H95" s="3" t="str">
        <f>"2"</f>
        <v>2</v>
      </c>
      <c r="I95" s="4" t="str">
        <f>"7450"</f>
        <v>7450</v>
      </c>
      <c r="J95" s="2">
        <v>45884</v>
      </c>
      <c r="K95" s="1" t="s">
        <v>473</v>
      </c>
    </row>
    <row r="96" spans="1:11" x14ac:dyDescent="0.35">
      <c r="A96" s="3" t="s">
        <v>93</v>
      </c>
      <c r="B96" s="1" t="s">
        <v>450</v>
      </c>
      <c r="C96" s="1" t="s">
        <v>476</v>
      </c>
      <c r="D96" s="1" t="str">
        <f>"3418"</f>
        <v>3418</v>
      </c>
      <c r="E96" s="1" t="s">
        <v>477</v>
      </c>
      <c r="F96" s="1" t="s">
        <v>478</v>
      </c>
      <c r="G96" s="3" t="s">
        <v>15</v>
      </c>
      <c r="H96" s="3" t="str">
        <f>"2"</f>
        <v>2</v>
      </c>
      <c r="I96" s="4" t="str">
        <f>"6300"</f>
        <v>6300</v>
      </c>
      <c r="J96" s="2">
        <v>45884</v>
      </c>
      <c r="K96" s="1" t="s">
        <v>473</v>
      </c>
    </row>
    <row r="97" spans="1:11" x14ac:dyDescent="0.35">
      <c r="A97" s="3" t="s">
        <v>93</v>
      </c>
      <c r="B97" s="1" t="s">
        <v>450</v>
      </c>
      <c r="C97" s="1" t="s">
        <v>529</v>
      </c>
      <c r="D97" s="1" t="str">
        <f>"6145"</f>
        <v>6145</v>
      </c>
      <c r="E97" s="1" t="s">
        <v>530</v>
      </c>
      <c r="F97" s="1" t="s">
        <v>531</v>
      </c>
      <c r="G97" s="3" t="s">
        <v>532</v>
      </c>
      <c r="H97" s="3" t="str">
        <f>"20"</f>
        <v>20</v>
      </c>
      <c r="I97" s="4" t="str">
        <f>"50"</f>
        <v>50</v>
      </c>
      <c r="J97" s="2">
        <v>45884</v>
      </c>
      <c r="K97" s="1" t="s">
        <v>533</v>
      </c>
    </row>
    <row r="98" spans="1:11" x14ac:dyDescent="0.35">
      <c r="A98" s="3" t="s">
        <v>93</v>
      </c>
      <c r="B98" s="1" t="s">
        <v>450</v>
      </c>
      <c r="C98" s="1" t="s">
        <v>552</v>
      </c>
      <c r="D98" s="1" t="str">
        <f>"9530"</f>
        <v>9530</v>
      </c>
      <c r="E98" s="1" t="s">
        <v>553</v>
      </c>
      <c r="F98" s="1" t="s">
        <v>554</v>
      </c>
      <c r="G98" s="3" t="s">
        <v>15</v>
      </c>
      <c r="H98" s="3" t="str">
        <f>"1"</f>
        <v>1</v>
      </c>
      <c r="I98" s="4" t="str">
        <f>"4500"</f>
        <v>4500</v>
      </c>
      <c r="J98" s="2">
        <v>45884</v>
      </c>
      <c r="K98" s="1" t="s">
        <v>533</v>
      </c>
    </row>
    <row r="99" spans="1:11" x14ac:dyDescent="0.35">
      <c r="A99" s="3" t="s">
        <v>93</v>
      </c>
      <c r="B99" s="1" t="s">
        <v>450</v>
      </c>
      <c r="C99" s="1" t="s">
        <v>555</v>
      </c>
      <c r="D99" s="1" t="str">
        <f>"9530"</f>
        <v>9530</v>
      </c>
      <c r="E99" s="1" t="s">
        <v>553</v>
      </c>
      <c r="F99" s="1" t="s">
        <v>554</v>
      </c>
      <c r="G99" s="3" t="s">
        <v>15</v>
      </c>
      <c r="H99" s="3" t="str">
        <f>"12"</f>
        <v>12</v>
      </c>
      <c r="I99" s="4" t="str">
        <f>"200"</f>
        <v>200</v>
      </c>
      <c r="J99" s="2">
        <v>45884</v>
      </c>
      <c r="K99" s="1" t="s">
        <v>533</v>
      </c>
    </row>
    <row r="100" spans="1:11" x14ac:dyDescent="0.35">
      <c r="A100" s="3" t="s">
        <v>93</v>
      </c>
      <c r="B100" s="1" t="s">
        <v>450</v>
      </c>
      <c r="C100" s="1" t="s">
        <v>556</v>
      </c>
      <c r="D100" s="1" t="str">
        <f>"9535"</f>
        <v>9535</v>
      </c>
      <c r="E100" s="1" t="s">
        <v>557</v>
      </c>
      <c r="F100" s="1" t="s">
        <v>558</v>
      </c>
      <c r="G100" s="3" t="s">
        <v>15</v>
      </c>
      <c r="H100" s="3" t="str">
        <f>"5"</f>
        <v>5</v>
      </c>
      <c r="I100" s="4" t="str">
        <f>"200"</f>
        <v>200</v>
      </c>
      <c r="J100" s="2">
        <v>45884</v>
      </c>
      <c r="K100" s="1" t="s">
        <v>533</v>
      </c>
    </row>
    <row r="101" spans="1:11" x14ac:dyDescent="0.35">
      <c r="A101" s="3" t="s">
        <v>93</v>
      </c>
      <c r="B101" s="1" t="s">
        <v>450</v>
      </c>
      <c r="C101" s="1" t="s">
        <v>559</v>
      </c>
      <c r="D101" s="1" t="str">
        <f>"9535"</f>
        <v>9535</v>
      </c>
      <c r="E101" s="1" t="s">
        <v>557</v>
      </c>
      <c r="F101" s="1" t="s">
        <v>558</v>
      </c>
      <c r="G101" s="3" t="s">
        <v>15</v>
      </c>
      <c r="H101" s="3" t="str">
        <f>"8"</f>
        <v>8</v>
      </c>
      <c r="I101" s="4" t="str">
        <f>"200"</f>
        <v>200</v>
      </c>
      <c r="J101" s="2">
        <v>45884</v>
      </c>
      <c r="K101" s="1" t="s">
        <v>533</v>
      </c>
    </row>
    <row r="102" spans="1:11" x14ac:dyDescent="0.35">
      <c r="A102" s="3" t="s">
        <v>93</v>
      </c>
      <c r="B102" s="1" t="s">
        <v>450</v>
      </c>
      <c r="C102" s="1" t="s">
        <v>560</v>
      </c>
      <c r="D102" s="1" t="str">
        <f>"9535"</f>
        <v>9535</v>
      </c>
      <c r="E102" s="1" t="s">
        <v>557</v>
      </c>
      <c r="F102" s="1" t="s">
        <v>558</v>
      </c>
      <c r="G102" s="3" t="s">
        <v>15</v>
      </c>
      <c r="H102" s="3" t="str">
        <f>"8"</f>
        <v>8</v>
      </c>
      <c r="I102" s="4" t="str">
        <f>"200"</f>
        <v>200</v>
      </c>
      <c r="J102" s="2">
        <v>45884</v>
      </c>
      <c r="K102" s="1" t="s">
        <v>533</v>
      </c>
    </row>
    <row r="103" spans="1:11" x14ac:dyDescent="0.35">
      <c r="A103" s="3" t="s">
        <v>93</v>
      </c>
      <c r="B103" s="1" t="s">
        <v>450</v>
      </c>
      <c r="C103" s="1" t="s">
        <v>561</v>
      </c>
      <c r="D103" s="1" t="str">
        <f>"9535"</f>
        <v>9535</v>
      </c>
      <c r="E103" s="1" t="s">
        <v>557</v>
      </c>
      <c r="F103" s="1" t="s">
        <v>558</v>
      </c>
      <c r="G103" s="3" t="s">
        <v>15</v>
      </c>
      <c r="H103" s="3" t="str">
        <f>"15"</f>
        <v>15</v>
      </c>
      <c r="I103" s="4" t="str">
        <f>"200"</f>
        <v>200</v>
      </c>
      <c r="J103" s="2">
        <v>45884</v>
      </c>
      <c r="K103" s="1" t="s">
        <v>533</v>
      </c>
    </row>
    <row r="104" spans="1:11" x14ac:dyDescent="0.35">
      <c r="A104" s="3" t="s">
        <v>93</v>
      </c>
      <c r="B104" s="1" t="s">
        <v>450</v>
      </c>
      <c r="C104" s="1" t="s">
        <v>562</v>
      </c>
      <c r="D104" s="1" t="str">
        <f>"9535"</f>
        <v>9535</v>
      </c>
      <c r="E104" s="1" t="s">
        <v>557</v>
      </c>
      <c r="F104" s="1" t="s">
        <v>558</v>
      </c>
      <c r="G104" s="3" t="s">
        <v>15</v>
      </c>
      <c r="H104" s="3" t="str">
        <f>"11"</f>
        <v>11</v>
      </c>
      <c r="I104" s="4" t="str">
        <f>"200"</f>
        <v>200</v>
      </c>
      <c r="J104" s="2">
        <v>45884</v>
      </c>
      <c r="K104" s="1" t="s">
        <v>533</v>
      </c>
    </row>
    <row r="105" spans="1:11" x14ac:dyDescent="0.35">
      <c r="A105" s="3" t="s">
        <v>93</v>
      </c>
      <c r="B105" s="1" t="s">
        <v>450</v>
      </c>
      <c r="C105" s="1" t="s">
        <v>563</v>
      </c>
      <c r="D105" s="1" t="str">
        <f>"9535"</f>
        <v>9535</v>
      </c>
      <c r="E105" s="1" t="s">
        <v>557</v>
      </c>
      <c r="F105" s="1" t="s">
        <v>558</v>
      </c>
      <c r="G105" s="3" t="s">
        <v>15</v>
      </c>
      <c r="H105" s="3" t="str">
        <f>"13"</f>
        <v>13</v>
      </c>
      <c r="I105" s="4" t="str">
        <f>"200"</f>
        <v>200</v>
      </c>
      <c r="J105" s="2">
        <v>45884</v>
      </c>
      <c r="K105" s="1" t="s">
        <v>533</v>
      </c>
    </row>
    <row r="106" spans="1:11" x14ac:dyDescent="0.35">
      <c r="A106" s="3" t="s">
        <v>93</v>
      </c>
      <c r="B106" s="1" t="s">
        <v>450</v>
      </c>
      <c r="C106" s="1" t="s">
        <v>564</v>
      </c>
      <c r="D106" s="1" t="str">
        <f>"9535"</f>
        <v>9535</v>
      </c>
      <c r="E106" s="1" t="s">
        <v>557</v>
      </c>
      <c r="F106" s="1" t="s">
        <v>558</v>
      </c>
      <c r="G106" s="3" t="s">
        <v>15</v>
      </c>
      <c r="H106" s="3" t="str">
        <f>"13"</f>
        <v>13</v>
      </c>
      <c r="I106" s="4" t="str">
        <f>"200"</f>
        <v>200</v>
      </c>
      <c r="J106" s="2">
        <v>45884</v>
      </c>
      <c r="K106" s="1" t="s">
        <v>533</v>
      </c>
    </row>
    <row r="107" spans="1:11" x14ac:dyDescent="0.35">
      <c r="A107" s="3" t="s">
        <v>93</v>
      </c>
      <c r="B107" s="1" t="s">
        <v>267</v>
      </c>
      <c r="C107" s="1" t="s">
        <v>292</v>
      </c>
      <c r="D107" s="1" t="str">
        <f>"6545"</f>
        <v>6545</v>
      </c>
      <c r="E107" s="1" t="str">
        <f>"015300929"</f>
        <v>015300929</v>
      </c>
      <c r="F107" s="1" t="s">
        <v>293</v>
      </c>
      <c r="G107" s="3" t="s">
        <v>19</v>
      </c>
      <c r="H107" s="3" t="str">
        <f>"14"</f>
        <v>14</v>
      </c>
      <c r="I107" s="4">
        <v>62.81</v>
      </c>
      <c r="J107" s="2">
        <v>45883</v>
      </c>
      <c r="K107" s="1" t="s">
        <v>294</v>
      </c>
    </row>
    <row r="108" spans="1:11" x14ac:dyDescent="0.35">
      <c r="A108" s="3" t="s">
        <v>93</v>
      </c>
      <c r="B108" s="1" t="s">
        <v>267</v>
      </c>
      <c r="C108" s="1" t="s">
        <v>295</v>
      </c>
      <c r="D108" s="1" t="str">
        <f>"8465"</f>
        <v>8465</v>
      </c>
      <c r="E108" s="1" t="str">
        <f>"015801575"</f>
        <v>015801575</v>
      </c>
      <c r="F108" s="1" t="s">
        <v>296</v>
      </c>
      <c r="G108" s="3" t="s">
        <v>15</v>
      </c>
      <c r="H108" s="3" t="str">
        <f>"4"</f>
        <v>4</v>
      </c>
      <c r="I108" s="4">
        <v>25.88</v>
      </c>
      <c r="J108" s="2">
        <v>45883</v>
      </c>
      <c r="K108" s="1" t="s">
        <v>297</v>
      </c>
    </row>
    <row r="109" spans="1:11" x14ac:dyDescent="0.35">
      <c r="A109" s="3" t="s">
        <v>93</v>
      </c>
      <c r="B109" s="1" t="s">
        <v>267</v>
      </c>
      <c r="C109" s="1" t="s">
        <v>298</v>
      </c>
      <c r="D109" s="1" t="str">
        <f>"8465"</f>
        <v>8465</v>
      </c>
      <c r="E109" s="1" t="str">
        <f>"015801575"</f>
        <v>015801575</v>
      </c>
      <c r="F109" s="1" t="s">
        <v>296</v>
      </c>
      <c r="G109" s="3" t="s">
        <v>15</v>
      </c>
      <c r="H109" s="3" t="str">
        <f>"8"</f>
        <v>8</v>
      </c>
      <c r="I109" s="4">
        <v>25.88</v>
      </c>
      <c r="J109" s="2">
        <v>45883</v>
      </c>
      <c r="K109" s="1" t="s">
        <v>297</v>
      </c>
    </row>
    <row r="110" spans="1:11" x14ac:dyDescent="0.35">
      <c r="A110" s="3" t="s">
        <v>93</v>
      </c>
      <c r="B110" s="1" t="s">
        <v>267</v>
      </c>
      <c r="C110" s="1" t="s">
        <v>299</v>
      </c>
      <c r="D110" s="1" t="str">
        <f>"8465"</f>
        <v>8465</v>
      </c>
      <c r="E110" s="1" t="str">
        <f>"015250598"</f>
        <v>015250598</v>
      </c>
      <c r="F110" s="1" t="s">
        <v>300</v>
      </c>
      <c r="G110" s="3" t="s">
        <v>15</v>
      </c>
      <c r="H110" s="3" t="str">
        <f>"16"</f>
        <v>16</v>
      </c>
      <c r="I110" s="4">
        <v>22.9</v>
      </c>
      <c r="J110" s="2">
        <v>45883</v>
      </c>
      <c r="K110" s="1" t="s">
        <v>301</v>
      </c>
    </row>
    <row r="111" spans="1:11" x14ac:dyDescent="0.35">
      <c r="A111" s="3" t="s">
        <v>93</v>
      </c>
      <c r="B111" s="1" t="s">
        <v>267</v>
      </c>
      <c r="C111" s="1" t="s">
        <v>302</v>
      </c>
      <c r="D111" s="1" t="str">
        <f>"8465"</f>
        <v>8465</v>
      </c>
      <c r="E111" s="1" t="str">
        <f>"016007830"</f>
        <v>016007830</v>
      </c>
      <c r="F111" s="1" t="s">
        <v>303</v>
      </c>
      <c r="G111" s="3" t="s">
        <v>15</v>
      </c>
      <c r="H111" s="3" t="str">
        <f>"14"</f>
        <v>14</v>
      </c>
      <c r="I111" s="4">
        <v>128.33000000000001</v>
      </c>
      <c r="J111" s="2">
        <v>45883</v>
      </c>
      <c r="K111" s="1" t="s">
        <v>304</v>
      </c>
    </row>
    <row r="112" spans="1:11" x14ac:dyDescent="0.35">
      <c r="A112" s="3" t="s">
        <v>93</v>
      </c>
      <c r="B112" s="1" t="s">
        <v>390</v>
      </c>
      <c r="C112" s="1" t="s">
        <v>391</v>
      </c>
      <c r="D112" s="1" t="str">
        <f>"3750"</f>
        <v>3750</v>
      </c>
      <c r="E112" s="1" t="s">
        <v>392</v>
      </c>
      <c r="F112" s="1" t="s">
        <v>393</v>
      </c>
      <c r="G112" s="3" t="s">
        <v>15</v>
      </c>
      <c r="H112" s="3" t="str">
        <f>"1"</f>
        <v>1</v>
      </c>
      <c r="I112" s="4" t="str">
        <f>"6507"</f>
        <v>6507</v>
      </c>
      <c r="J112" s="2">
        <v>45883</v>
      </c>
      <c r="K112" s="1" t="s">
        <v>394</v>
      </c>
    </row>
    <row r="113" spans="1:11" x14ac:dyDescent="0.35">
      <c r="A113" s="3" t="s">
        <v>93</v>
      </c>
      <c r="B113" s="1" t="s">
        <v>565</v>
      </c>
      <c r="C113" s="1" t="s">
        <v>575</v>
      </c>
      <c r="D113" s="1" t="str">
        <f>"2320"</f>
        <v>2320</v>
      </c>
      <c r="E113" s="1" t="s">
        <v>321</v>
      </c>
      <c r="F113" s="1" t="s">
        <v>322</v>
      </c>
      <c r="G113" s="3" t="s">
        <v>15</v>
      </c>
      <c r="H113" s="3" t="str">
        <f>"1"</f>
        <v>1</v>
      </c>
      <c r="I113" s="4" t="str">
        <f>"99000"</f>
        <v>99000</v>
      </c>
      <c r="J113" s="2">
        <v>45883</v>
      </c>
      <c r="K113" s="1" t="s">
        <v>576</v>
      </c>
    </row>
    <row r="114" spans="1:11" x14ac:dyDescent="0.35">
      <c r="A114" s="3" t="s">
        <v>93</v>
      </c>
      <c r="B114" s="1" t="s">
        <v>565</v>
      </c>
      <c r="C114" s="1" t="s">
        <v>582</v>
      </c>
      <c r="D114" s="1" t="str">
        <f>"3750"</f>
        <v>3750</v>
      </c>
      <c r="E114" s="1" t="s">
        <v>583</v>
      </c>
      <c r="F114" s="1" t="s">
        <v>584</v>
      </c>
      <c r="G114" s="3" t="s">
        <v>15</v>
      </c>
      <c r="H114" s="3" t="str">
        <f>"1"</f>
        <v>1</v>
      </c>
      <c r="I114" s="4" t="str">
        <f>"15000"</f>
        <v>15000</v>
      </c>
      <c r="J114" s="2">
        <v>45883</v>
      </c>
      <c r="K114" s="1" t="s">
        <v>585</v>
      </c>
    </row>
    <row r="115" spans="1:11" x14ac:dyDescent="0.35">
      <c r="A115" s="3" t="s">
        <v>93</v>
      </c>
      <c r="B115" s="1" t="s">
        <v>203</v>
      </c>
      <c r="C115" s="1" t="s">
        <v>216</v>
      </c>
      <c r="D115" s="1" t="str">
        <f>"5120"</f>
        <v>5120</v>
      </c>
      <c r="E115" s="1" t="str">
        <f>"009619815"</f>
        <v>009619815</v>
      </c>
      <c r="F115" s="1" t="s">
        <v>217</v>
      </c>
      <c r="G115" s="3" t="s">
        <v>58</v>
      </c>
      <c r="H115" s="3" t="str">
        <f>"1"</f>
        <v>1</v>
      </c>
      <c r="I115" s="4">
        <v>14818.18</v>
      </c>
      <c r="J115" s="2">
        <v>45882</v>
      </c>
      <c r="K115" s="1" t="s">
        <v>218</v>
      </c>
    </row>
    <row r="116" spans="1:11" x14ac:dyDescent="0.35">
      <c r="A116" s="3" t="s">
        <v>93</v>
      </c>
      <c r="B116" s="1" t="s">
        <v>203</v>
      </c>
      <c r="C116" s="1" t="s">
        <v>219</v>
      </c>
      <c r="D116" s="1" t="str">
        <f>"5180"</f>
        <v>5180</v>
      </c>
      <c r="E116" s="1" t="str">
        <f>"014830249"</f>
        <v>014830249</v>
      </c>
      <c r="F116" s="1" t="s">
        <v>220</v>
      </c>
      <c r="G116" s="3" t="s">
        <v>58</v>
      </c>
      <c r="H116" s="3" t="str">
        <f>"1"</f>
        <v>1</v>
      </c>
      <c r="I116" s="4" t="str">
        <f>"1780"</f>
        <v>1780</v>
      </c>
      <c r="J116" s="2">
        <v>45882</v>
      </c>
      <c r="K116" s="1" t="s">
        <v>218</v>
      </c>
    </row>
    <row r="117" spans="1:11" x14ac:dyDescent="0.35">
      <c r="A117" s="3" t="s">
        <v>93</v>
      </c>
      <c r="B117" s="1" t="s">
        <v>203</v>
      </c>
      <c r="C117" s="1" t="s">
        <v>221</v>
      </c>
      <c r="D117" s="1" t="str">
        <f>"5180"</f>
        <v>5180</v>
      </c>
      <c r="E117" s="1" t="str">
        <f>"006995273"</f>
        <v>006995273</v>
      </c>
      <c r="F117" s="1" t="s">
        <v>222</v>
      </c>
      <c r="G117" s="3" t="s">
        <v>19</v>
      </c>
      <c r="H117" s="3" t="str">
        <f>"1"</f>
        <v>1</v>
      </c>
      <c r="I117" s="4" t="str">
        <f>"2383"</f>
        <v>2383</v>
      </c>
      <c r="J117" s="2">
        <v>45882</v>
      </c>
      <c r="K117" s="1" t="s">
        <v>218</v>
      </c>
    </row>
    <row r="118" spans="1:11" x14ac:dyDescent="0.35">
      <c r="A118" s="3" t="s">
        <v>93</v>
      </c>
      <c r="B118" s="1" t="s">
        <v>203</v>
      </c>
      <c r="C118" s="1" t="s">
        <v>223</v>
      </c>
      <c r="D118" s="1" t="str">
        <f>"6545"</f>
        <v>6545</v>
      </c>
      <c r="E118" s="1" t="str">
        <f>"016092699"</f>
        <v>016092699</v>
      </c>
      <c r="F118" s="1" t="s">
        <v>224</v>
      </c>
      <c r="G118" s="3" t="s">
        <v>58</v>
      </c>
      <c r="H118" s="3" t="str">
        <f>"1"</f>
        <v>1</v>
      </c>
      <c r="I118" s="4">
        <v>10952.53</v>
      </c>
      <c r="J118" s="2">
        <v>45882</v>
      </c>
      <c r="K118" s="1" t="s">
        <v>225</v>
      </c>
    </row>
    <row r="119" spans="1:11" x14ac:dyDescent="0.35">
      <c r="A119" s="3" t="s">
        <v>93</v>
      </c>
      <c r="B119" s="1" t="s">
        <v>254</v>
      </c>
      <c r="C119" s="1" t="s">
        <v>255</v>
      </c>
      <c r="D119" s="1" t="str">
        <f>"4240"</f>
        <v>4240</v>
      </c>
      <c r="E119" s="1" t="str">
        <f>"015439618"</f>
        <v>015439618</v>
      </c>
      <c r="F119" s="1" t="s">
        <v>256</v>
      </c>
      <c r="G119" s="3" t="s">
        <v>15</v>
      </c>
      <c r="H119" s="3" t="str">
        <f>"44"</f>
        <v>44</v>
      </c>
      <c r="I119" s="4">
        <v>28.63</v>
      </c>
      <c r="J119" s="2">
        <v>45882</v>
      </c>
      <c r="K119" s="1" t="s">
        <v>257</v>
      </c>
    </row>
    <row r="120" spans="1:11" x14ac:dyDescent="0.35">
      <c r="A120" s="3" t="s">
        <v>93</v>
      </c>
      <c r="B120" s="1" t="s">
        <v>312</v>
      </c>
      <c r="C120" s="1" t="s">
        <v>313</v>
      </c>
      <c r="D120" s="1" t="str">
        <f>"2330"</f>
        <v>2330</v>
      </c>
      <c r="E120" s="1" t="s">
        <v>70</v>
      </c>
      <c r="F120" s="1" t="s">
        <v>71</v>
      </c>
      <c r="G120" s="3" t="s">
        <v>15</v>
      </c>
      <c r="H120" s="3" t="str">
        <f>"1"</f>
        <v>1</v>
      </c>
      <c r="I120" s="4" t="str">
        <f>"11758"</f>
        <v>11758</v>
      </c>
      <c r="J120" s="2">
        <v>45881</v>
      </c>
      <c r="K120" s="1" t="s">
        <v>314</v>
      </c>
    </row>
    <row r="121" spans="1:11" x14ac:dyDescent="0.35">
      <c r="A121" s="3" t="s">
        <v>93</v>
      </c>
      <c r="B121" s="1" t="s">
        <v>267</v>
      </c>
      <c r="C121" s="1" t="s">
        <v>288</v>
      </c>
      <c r="D121" s="1" t="str">
        <f>"6260"</f>
        <v>6260</v>
      </c>
      <c r="E121" s="1" t="str">
        <f>"012094435"</f>
        <v>012094435</v>
      </c>
      <c r="F121" s="1" t="s">
        <v>289</v>
      </c>
      <c r="G121" s="3" t="s">
        <v>290</v>
      </c>
      <c r="H121" s="3" t="str">
        <f>"2"</f>
        <v>2</v>
      </c>
      <c r="I121" s="4">
        <v>37.299999999999997</v>
      </c>
      <c r="J121" s="2">
        <v>45878</v>
      </c>
      <c r="K121" s="1" t="s">
        <v>291</v>
      </c>
    </row>
    <row r="122" spans="1:11" x14ac:dyDescent="0.35">
      <c r="A122" s="3" t="s">
        <v>93</v>
      </c>
      <c r="B122" s="1" t="s">
        <v>565</v>
      </c>
      <c r="C122" s="1" t="s">
        <v>593</v>
      </c>
      <c r="D122" s="1" t="str">
        <f>"7025"</f>
        <v>7025</v>
      </c>
      <c r="E122" s="1" t="s">
        <v>594</v>
      </c>
      <c r="F122" s="1" t="s">
        <v>595</v>
      </c>
      <c r="G122" s="3" t="s">
        <v>15</v>
      </c>
      <c r="H122" s="3" t="str">
        <f>"2"</f>
        <v>2</v>
      </c>
      <c r="I122" s="4" t="str">
        <f>"1000"</f>
        <v>1000</v>
      </c>
      <c r="J122" s="2">
        <v>45876</v>
      </c>
      <c r="K122" s="1" t="s">
        <v>596</v>
      </c>
    </row>
    <row r="123" spans="1:11" x14ac:dyDescent="0.35">
      <c r="A123" s="3" t="s">
        <v>93</v>
      </c>
      <c r="B123" s="1" t="s">
        <v>137</v>
      </c>
      <c r="C123" s="1" t="s">
        <v>138</v>
      </c>
      <c r="D123" s="1" t="str">
        <f>"1005"</f>
        <v>1005</v>
      </c>
      <c r="E123" s="1" t="str">
        <f>"015267354"</f>
        <v>015267354</v>
      </c>
      <c r="F123" s="1" t="s">
        <v>139</v>
      </c>
      <c r="G123" s="3" t="s">
        <v>19</v>
      </c>
      <c r="H123" s="3" t="str">
        <f>"8"</f>
        <v>8</v>
      </c>
      <c r="I123" s="4">
        <v>124.33</v>
      </c>
      <c r="J123" s="2">
        <v>45875</v>
      </c>
      <c r="K123" s="1" t="s">
        <v>140</v>
      </c>
    </row>
    <row r="124" spans="1:11" x14ac:dyDescent="0.35">
      <c r="A124" s="3" t="s">
        <v>93</v>
      </c>
      <c r="B124" s="1" t="s">
        <v>137</v>
      </c>
      <c r="C124" s="1" t="s">
        <v>149</v>
      </c>
      <c r="D124" s="1" t="str">
        <f>"3930"</f>
        <v>3930</v>
      </c>
      <c r="E124" s="1" t="s">
        <v>150</v>
      </c>
      <c r="F124" s="1" t="s">
        <v>151</v>
      </c>
      <c r="G124" s="3" t="s">
        <v>15</v>
      </c>
      <c r="H124" s="3" t="str">
        <f>"1"</f>
        <v>1</v>
      </c>
      <c r="I124" s="4" t="str">
        <f>"11469"</f>
        <v>11469</v>
      </c>
      <c r="J124" s="2">
        <v>45875</v>
      </c>
      <c r="K124" s="1" t="s">
        <v>152</v>
      </c>
    </row>
    <row r="125" spans="1:11" x14ac:dyDescent="0.35">
      <c r="A125" s="3" t="s">
        <v>93</v>
      </c>
      <c r="B125" s="1" t="s">
        <v>137</v>
      </c>
      <c r="C125" s="1" t="s">
        <v>153</v>
      </c>
      <c r="D125" s="1" t="str">
        <f>"3990"</f>
        <v>3990</v>
      </c>
      <c r="E125" s="1" t="s">
        <v>154</v>
      </c>
      <c r="F125" s="1" t="s">
        <v>155</v>
      </c>
      <c r="G125" s="3" t="s">
        <v>15</v>
      </c>
      <c r="H125" s="3" t="str">
        <f>"1"</f>
        <v>1</v>
      </c>
      <c r="I125" s="4">
        <v>13320.57</v>
      </c>
      <c r="J125" s="2">
        <v>45875</v>
      </c>
      <c r="K125" s="1" t="s">
        <v>156</v>
      </c>
    </row>
    <row r="126" spans="1:11" x14ac:dyDescent="0.35">
      <c r="A126" s="3" t="s">
        <v>93</v>
      </c>
      <c r="B126" s="1" t="s">
        <v>137</v>
      </c>
      <c r="C126" s="1" t="s">
        <v>157</v>
      </c>
      <c r="D126" s="1" t="str">
        <f>"4220"</f>
        <v>4220</v>
      </c>
      <c r="E126" s="1" t="str">
        <f>"014851138"</f>
        <v>014851138</v>
      </c>
      <c r="F126" s="1" t="s">
        <v>158</v>
      </c>
      <c r="G126" s="3" t="s">
        <v>15</v>
      </c>
      <c r="H126" s="3" t="str">
        <f>"25"</f>
        <v>25</v>
      </c>
      <c r="I126" s="4">
        <v>556.55999999999995</v>
      </c>
      <c r="J126" s="2">
        <v>45875</v>
      </c>
      <c r="K126" s="1" t="s">
        <v>159</v>
      </c>
    </row>
    <row r="127" spans="1:11" x14ac:dyDescent="0.35">
      <c r="A127" s="3" t="s">
        <v>93</v>
      </c>
      <c r="B127" s="1" t="s">
        <v>137</v>
      </c>
      <c r="C127" s="1" t="s">
        <v>160</v>
      </c>
      <c r="D127" s="1" t="str">
        <f>"5140"</f>
        <v>5140</v>
      </c>
      <c r="E127" s="1" t="s">
        <v>161</v>
      </c>
      <c r="F127" s="1" t="s">
        <v>162</v>
      </c>
      <c r="G127" s="3" t="s">
        <v>15</v>
      </c>
      <c r="H127" s="3" t="str">
        <f>"4"</f>
        <v>4</v>
      </c>
      <c r="I127" s="4" t="str">
        <f>"783"</f>
        <v>783</v>
      </c>
      <c r="J127" s="2">
        <v>45875</v>
      </c>
      <c r="K127" s="1" t="s">
        <v>163</v>
      </c>
    </row>
    <row r="128" spans="1:11" x14ac:dyDescent="0.35">
      <c r="A128" s="3" t="s">
        <v>93</v>
      </c>
      <c r="B128" s="1" t="s">
        <v>137</v>
      </c>
      <c r="C128" s="1" t="s">
        <v>164</v>
      </c>
      <c r="D128" s="1" t="str">
        <f>"5180"</f>
        <v>5180</v>
      </c>
      <c r="E128" s="1" t="str">
        <f>"005961546"</f>
        <v>005961546</v>
      </c>
      <c r="F128" s="1" t="s">
        <v>165</v>
      </c>
      <c r="G128" s="3" t="s">
        <v>19</v>
      </c>
      <c r="H128" s="3" t="str">
        <f>"2"</f>
        <v>2</v>
      </c>
      <c r="I128" s="4" t="str">
        <f>"3773"</f>
        <v>3773</v>
      </c>
      <c r="J128" s="2">
        <v>45875</v>
      </c>
      <c r="K128" s="1" t="s">
        <v>166</v>
      </c>
    </row>
    <row r="129" spans="1:11" x14ac:dyDescent="0.35">
      <c r="A129" s="3" t="s">
        <v>93</v>
      </c>
      <c r="B129" s="1" t="s">
        <v>137</v>
      </c>
      <c r="C129" s="1" t="s">
        <v>167</v>
      </c>
      <c r="D129" s="1" t="str">
        <f>"5410"</f>
        <v>5410</v>
      </c>
      <c r="E129" s="1" t="str">
        <f>"013112895"</f>
        <v>013112895</v>
      </c>
      <c r="F129" s="1" t="s">
        <v>168</v>
      </c>
      <c r="G129" s="3" t="s">
        <v>15</v>
      </c>
      <c r="H129" s="3" t="str">
        <f>"1"</f>
        <v>1</v>
      </c>
      <c r="I129" s="4" t="str">
        <f>"21340"</f>
        <v>21340</v>
      </c>
      <c r="J129" s="2">
        <v>45875</v>
      </c>
      <c r="K129" s="1" t="s">
        <v>169</v>
      </c>
    </row>
    <row r="130" spans="1:11" x14ac:dyDescent="0.35">
      <c r="A130" s="3" t="s">
        <v>93</v>
      </c>
      <c r="B130" s="1" t="s">
        <v>137</v>
      </c>
      <c r="C130" s="1" t="s">
        <v>181</v>
      </c>
      <c r="D130" s="1" t="str">
        <f>"7830"</f>
        <v>7830</v>
      </c>
      <c r="E130" s="1" t="s">
        <v>182</v>
      </c>
      <c r="F130" s="1" t="s">
        <v>183</v>
      </c>
      <c r="G130" s="3" t="s">
        <v>15</v>
      </c>
      <c r="H130" s="3" t="str">
        <f>"1"</f>
        <v>1</v>
      </c>
      <c r="I130" s="4">
        <v>5362.95</v>
      </c>
      <c r="J130" s="2">
        <v>45875</v>
      </c>
      <c r="K130" s="1" t="s">
        <v>184</v>
      </c>
    </row>
    <row r="131" spans="1:11" x14ac:dyDescent="0.35">
      <c r="A131" s="3" t="s">
        <v>93</v>
      </c>
      <c r="B131" s="1" t="s">
        <v>137</v>
      </c>
      <c r="C131" s="1" t="s">
        <v>185</v>
      </c>
      <c r="D131" s="1" t="str">
        <f>"7830"</f>
        <v>7830</v>
      </c>
      <c r="E131" s="1" t="s">
        <v>182</v>
      </c>
      <c r="F131" s="1" t="s">
        <v>183</v>
      </c>
      <c r="G131" s="3" t="s">
        <v>15</v>
      </c>
      <c r="H131" s="3" t="str">
        <f>"1"</f>
        <v>1</v>
      </c>
      <c r="I131" s="4" t="str">
        <f>"1000"</f>
        <v>1000</v>
      </c>
      <c r="J131" s="2">
        <v>45875</v>
      </c>
      <c r="K131" s="1" t="s">
        <v>184</v>
      </c>
    </row>
    <row r="132" spans="1:11" x14ac:dyDescent="0.35">
      <c r="A132" s="3" t="s">
        <v>93</v>
      </c>
      <c r="B132" s="1" t="s">
        <v>137</v>
      </c>
      <c r="C132" s="1" t="s">
        <v>186</v>
      </c>
      <c r="D132" s="1" t="str">
        <f>"7830"</f>
        <v>7830</v>
      </c>
      <c r="E132" s="1" t="s">
        <v>182</v>
      </c>
      <c r="F132" s="1" t="s">
        <v>183</v>
      </c>
      <c r="G132" s="3" t="s">
        <v>15</v>
      </c>
      <c r="H132" s="3" t="str">
        <f>"1"</f>
        <v>1</v>
      </c>
      <c r="I132" s="4" t="str">
        <f>"1950"</f>
        <v>1950</v>
      </c>
      <c r="J132" s="2">
        <v>45875</v>
      </c>
      <c r="K132" s="1" t="s">
        <v>187</v>
      </c>
    </row>
    <row r="133" spans="1:11" x14ac:dyDescent="0.35">
      <c r="A133" s="3" t="s">
        <v>93</v>
      </c>
      <c r="B133" s="1" t="s">
        <v>137</v>
      </c>
      <c r="C133" s="1" t="s">
        <v>196</v>
      </c>
      <c r="D133" s="1" t="str">
        <f>"8465"</f>
        <v>8465</v>
      </c>
      <c r="E133" s="1" t="s">
        <v>197</v>
      </c>
      <c r="F133" s="1" t="s">
        <v>198</v>
      </c>
      <c r="G133" s="3" t="s">
        <v>15</v>
      </c>
      <c r="H133" s="3" t="str">
        <f>"20"</f>
        <v>20</v>
      </c>
      <c r="I133" s="4" t="str">
        <f>"50"</f>
        <v>50</v>
      </c>
      <c r="J133" s="2">
        <v>45875</v>
      </c>
      <c r="K133" s="1" t="s">
        <v>199</v>
      </c>
    </row>
    <row r="134" spans="1:11" x14ac:dyDescent="0.35">
      <c r="A134" s="3" t="s">
        <v>93</v>
      </c>
      <c r="B134" s="1" t="s">
        <v>267</v>
      </c>
      <c r="C134" s="1" t="s">
        <v>281</v>
      </c>
      <c r="D134" s="1" t="str">
        <f>"5820"</f>
        <v>5820</v>
      </c>
      <c r="E134" s="1" t="str">
        <f>"015647598"</f>
        <v>015647598</v>
      </c>
      <c r="F134" s="1" t="s">
        <v>282</v>
      </c>
      <c r="G134" s="3" t="s">
        <v>15</v>
      </c>
      <c r="H134" s="3" t="str">
        <f>"3"</f>
        <v>3</v>
      </c>
      <c r="I134" s="4">
        <v>6186.78</v>
      </c>
      <c r="J134" s="2">
        <v>45873</v>
      </c>
      <c r="K134" s="1" t="s">
        <v>283</v>
      </c>
    </row>
    <row r="135" spans="1:11" x14ac:dyDescent="0.35">
      <c r="A135" s="3" t="s">
        <v>93</v>
      </c>
      <c r="B135" s="1" t="s">
        <v>319</v>
      </c>
      <c r="C135" s="1" t="s">
        <v>320</v>
      </c>
      <c r="D135" s="1" t="str">
        <f>"2320"</f>
        <v>2320</v>
      </c>
      <c r="E135" s="1" t="s">
        <v>321</v>
      </c>
      <c r="F135" s="1" t="s">
        <v>322</v>
      </c>
      <c r="G135" s="3" t="s">
        <v>15</v>
      </c>
      <c r="H135" s="3" t="str">
        <f>"1"</f>
        <v>1</v>
      </c>
      <c r="I135" s="4">
        <v>19624.3</v>
      </c>
      <c r="J135" s="2">
        <v>45873</v>
      </c>
      <c r="K135" s="1" t="s">
        <v>323</v>
      </c>
    </row>
    <row r="136" spans="1:11" x14ac:dyDescent="0.35">
      <c r="A136" s="3" t="s">
        <v>93</v>
      </c>
      <c r="B136" s="1" t="s">
        <v>319</v>
      </c>
      <c r="C136" s="1" t="s">
        <v>324</v>
      </c>
      <c r="D136" s="1" t="str">
        <f>"2320"</f>
        <v>2320</v>
      </c>
      <c r="E136" s="1" t="s">
        <v>274</v>
      </c>
      <c r="F136" s="1" t="s">
        <v>275</v>
      </c>
      <c r="G136" s="3" t="s">
        <v>15</v>
      </c>
      <c r="H136" s="3" t="str">
        <f>"1"</f>
        <v>1</v>
      </c>
      <c r="I136" s="4" t="str">
        <f>"15000"</f>
        <v>15000</v>
      </c>
      <c r="J136" s="2">
        <v>45873</v>
      </c>
      <c r="K136" s="1" t="s">
        <v>325</v>
      </c>
    </row>
    <row r="137" spans="1:11" x14ac:dyDescent="0.35">
      <c r="A137" s="3" t="s">
        <v>93</v>
      </c>
      <c r="B137" s="1" t="s">
        <v>319</v>
      </c>
      <c r="C137" s="1" t="s">
        <v>326</v>
      </c>
      <c r="D137" s="1" t="str">
        <f>"3431"</f>
        <v>3431</v>
      </c>
      <c r="E137" s="1" t="s">
        <v>146</v>
      </c>
      <c r="F137" s="1" t="s">
        <v>147</v>
      </c>
      <c r="G137" s="3" t="s">
        <v>15</v>
      </c>
      <c r="H137" s="3" t="str">
        <f>"1"</f>
        <v>1</v>
      </c>
      <c r="I137" s="4" t="str">
        <f>"2265"</f>
        <v>2265</v>
      </c>
      <c r="J137" s="2">
        <v>45873</v>
      </c>
      <c r="K137" s="1" t="s">
        <v>327</v>
      </c>
    </row>
    <row r="138" spans="1:11" x14ac:dyDescent="0.35">
      <c r="A138" s="3" t="s">
        <v>93</v>
      </c>
      <c r="B138" s="1" t="s">
        <v>319</v>
      </c>
      <c r="C138" s="1" t="s">
        <v>336</v>
      </c>
      <c r="D138" s="1" t="str">
        <f>"4240"</f>
        <v>4240</v>
      </c>
      <c r="E138" s="1" t="str">
        <f>"015439618"</f>
        <v>015439618</v>
      </c>
      <c r="F138" s="1" t="s">
        <v>256</v>
      </c>
      <c r="G138" s="3" t="s">
        <v>15</v>
      </c>
      <c r="H138" s="3" t="str">
        <f>"4"</f>
        <v>4</v>
      </c>
      <c r="I138" s="4">
        <v>28.63</v>
      </c>
      <c r="J138" s="2">
        <v>45873</v>
      </c>
      <c r="K138" s="1" t="s">
        <v>337</v>
      </c>
    </row>
    <row r="139" spans="1:11" x14ac:dyDescent="0.35">
      <c r="A139" s="3" t="s">
        <v>93</v>
      </c>
      <c r="B139" s="1" t="s">
        <v>319</v>
      </c>
      <c r="C139" s="1" t="s">
        <v>338</v>
      </c>
      <c r="D139" s="1" t="str">
        <f>"4240"</f>
        <v>4240</v>
      </c>
      <c r="E139" s="1" t="str">
        <f>"015439618"</f>
        <v>015439618</v>
      </c>
      <c r="F139" s="1" t="s">
        <v>256</v>
      </c>
      <c r="G139" s="3" t="s">
        <v>15</v>
      </c>
      <c r="H139" s="3" t="str">
        <f>"18"</f>
        <v>18</v>
      </c>
      <c r="I139" s="4">
        <v>28.63</v>
      </c>
      <c r="J139" s="2">
        <v>45873</v>
      </c>
      <c r="K139" s="1" t="s">
        <v>339</v>
      </c>
    </row>
    <row r="140" spans="1:11" x14ac:dyDescent="0.35">
      <c r="A140" s="3" t="s">
        <v>93</v>
      </c>
      <c r="B140" s="1" t="s">
        <v>319</v>
      </c>
      <c r="C140" s="1" t="s">
        <v>340</v>
      </c>
      <c r="D140" s="1" t="str">
        <f>"4310"</f>
        <v>4310</v>
      </c>
      <c r="E140" s="1" t="s">
        <v>124</v>
      </c>
      <c r="F140" s="1" t="s">
        <v>125</v>
      </c>
      <c r="G140" s="3" t="s">
        <v>15</v>
      </c>
      <c r="H140" s="3" t="str">
        <f>"1"</f>
        <v>1</v>
      </c>
      <c r="I140" s="4" t="str">
        <f>"760"</f>
        <v>760</v>
      </c>
      <c r="J140" s="2">
        <v>45873</v>
      </c>
      <c r="K140" s="1" t="s">
        <v>341</v>
      </c>
    </row>
    <row r="141" spans="1:11" x14ac:dyDescent="0.35">
      <c r="A141" s="3" t="s">
        <v>93</v>
      </c>
      <c r="B141" s="1" t="s">
        <v>319</v>
      </c>
      <c r="C141" s="1" t="s">
        <v>342</v>
      </c>
      <c r="D141" s="1" t="str">
        <f>"4910"</f>
        <v>4910</v>
      </c>
      <c r="E141" s="1" t="s">
        <v>343</v>
      </c>
      <c r="F141" s="1" t="s">
        <v>344</v>
      </c>
      <c r="G141" s="3" t="s">
        <v>15</v>
      </c>
      <c r="H141" s="3" t="str">
        <f>"1"</f>
        <v>1</v>
      </c>
      <c r="I141" s="4" t="str">
        <f>"1000"</f>
        <v>1000</v>
      </c>
      <c r="J141" s="2">
        <v>45873</v>
      </c>
      <c r="K141" s="1" t="s">
        <v>345</v>
      </c>
    </row>
    <row r="142" spans="1:11" x14ac:dyDescent="0.35">
      <c r="A142" s="3" t="s">
        <v>93</v>
      </c>
      <c r="B142" s="1" t="s">
        <v>319</v>
      </c>
      <c r="C142" s="1" t="s">
        <v>346</v>
      </c>
      <c r="D142" s="1" t="str">
        <f>"4910"</f>
        <v>4910</v>
      </c>
      <c r="E142" s="1" t="s">
        <v>264</v>
      </c>
      <c r="F142" s="1" t="s">
        <v>265</v>
      </c>
      <c r="G142" s="3" t="s">
        <v>15</v>
      </c>
      <c r="H142" s="3" t="str">
        <f>"2"</f>
        <v>2</v>
      </c>
      <c r="I142" s="4">
        <v>12249.99</v>
      </c>
      <c r="J142" s="2">
        <v>45873</v>
      </c>
      <c r="K142" s="1" t="s">
        <v>347</v>
      </c>
    </row>
    <row r="143" spans="1:11" x14ac:dyDescent="0.35">
      <c r="A143" s="3" t="s">
        <v>93</v>
      </c>
      <c r="B143" s="1" t="s">
        <v>319</v>
      </c>
      <c r="C143" s="1" t="s">
        <v>348</v>
      </c>
      <c r="D143" s="1" t="str">
        <f>"4910"</f>
        <v>4910</v>
      </c>
      <c r="E143" s="1" t="s">
        <v>343</v>
      </c>
      <c r="F143" s="1" t="s">
        <v>344</v>
      </c>
      <c r="G143" s="3" t="s">
        <v>15</v>
      </c>
      <c r="H143" s="3" t="str">
        <f>"1"</f>
        <v>1</v>
      </c>
      <c r="I143" s="4">
        <v>1709.05</v>
      </c>
      <c r="J143" s="2">
        <v>45873</v>
      </c>
      <c r="K143" s="1" t="s">
        <v>349</v>
      </c>
    </row>
    <row r="144" spans="1:11" x14ac:dyDescent="0.35">
      <c r="A144" s="3" t="s">
        <v>93</v>
      </c>
      <c r="B144" s="1" t="s">
        <v>319</v>
      </c>
      <c r="C144" s="1" t="s">
        <v>353</v>
      </c>
      <c r="D144" s="1" t="str">
        <f>"5130"</f>
        <v>5130</v>
      </c>
      <c r="E144" s="1" t="s">
        <v>354</v>
      </c>
      <c r="F144" s="1" t="s">
        <v>355</v>
      </c>
      <c r="G144" s="3" t="s">
        <v>15</v>
      </c>
      <c r="H144" s="3" t="str">
        <f>"1"</f>
        <v>1</v>
      </c>
      <c r="I144" s="4" t="str">
        <f>"2264"</f>
        <v>2264</v>
      </c>
      <c r="J144" s="2">
        <v>45873</v>
      </c>
      <c r="K144" s="1" t="s">
        <v>356</v>
      </c>
    </row>
    <row r="145" spans="1:11" x14ac:dyDescent="0.35">
      <c r="A145" s="3" t="s">
        <v>93</v>
      </c>
      <c r="B145" s="1" t="s">
        <v>319</v>
      </c>
      <c r="C145" s="1" t="s">
        <v>357</v>
      </c>
      <c r="D145" s="1" t="str">
        <f>"5140"</f>
        <v>5140</v>
      </c>
      <c r="E145" s="1" t="str">
        <f>"016285720"</f>
        <v>016285720</v>
      </c>
      <c r="F145" s="1" t="s">
        <v>358</v>
      </c>
      <c r="G145" s="3" t="s">
        <v>15</v>
      </c>
      <c r="H145" s="3" t="str">
        <f>"1"</f>
        <v>1</v>
      </c>
      <c r="I145" s="4" t="str">
        <f>"2345"</f>
        <v>2345</v>
      </c>
      <c r="J145" s="2">
        <v>45873</v>
      </c>
      <c r="K145" s="1" t="s">
        <v>359</v>
      </c>
    </row>
    <row r="146" spans="1:11" x14ac:dyDescent="0.35">
      <c r="A146" s="3" t="s">
        <v>93</v>
      </c>
      <c r="B146" s="1" t="s">
        <v>319</v>
      </c>
      <c r="C146" s="1" t="s">
        <v>360</v>
      </c>
      <c r="D146" s="1" t="str">
        <f>"5180"</f>
        <v>5180</v>
      </c>
      <c r="E146" s="1" t="str">
        <f>"005961474"</f>
        <v>005961474</v>
      </c>
      <c r="F146" s="1" t="s">
        <v>361</v>
      </c>
      <c r="G146" s="3" t="s">
        <v>19</v>
      </c>
      <c r="H146" s="3" t="str">
        <f>"1"</f>
        <v>1</v>
      </c>
      <c r="I146" s="4" t="str">
        <f>"5688"</f>
        <v>5688</v>
      </c>
      <c r="J146" s="2">
        <v>45873</v>
      </c>
      <c r="K146" s="1" t="s">
        <v>362</v>
      </c>
    </row>
    <row r="147" spans="1:11" x14ac:dyDescent="0.35">
      <c r="A147" s="3" t="s">
        <v>93</v>
      </c>
      <c r="B147" s="1" t="s">
        <v>319</v>
      </c>
      <c r="C147" s="1" t="s">
        <v>363</v>
      </c>
      <c r="D147" s="1" t="str">
        <f>"7010"</f>
        <v>7010</v>
      </c>
      <c r="E147" s="1" t="s">
        <v>364</v>
      </c>
      <c r="F147" s="1" t="s">
        <v>365</v>
      </c>
      <c r="G147" s="3" t="s">
        <v>15</v>
      </c>
      <c r="H147" s="3" t="str">
        <f>"3"</f>
        <v>3</v>
      </c>
      <c r="I147" s="4" t="str">
        <f>"150"</f>
        <v>150</v>
      </c>
      <c r="J147" s="2">
        <v>45873</v>
      </c>
      <c r="K147" s="1" t="s">
        <v>366</v>
      </c>
    </row>
    <row r="148" spans="1:11" x14ac:dyDescent="0.35">
      <c r="A148" s="3" t="s">
        <v>93</v>
      </c>
      <c r="B148" s="1" t="s">
        <v>319</v>
      </c>
      <c r="C148" s="1" t="s">
        <v>367</v>
      </c>
      <c r="D148" s="1" t="str">
        <f>"8465"</f>
        <v>8465</v>
      </c>
      <c r="E148" s="1" t="str">
        <f>"015248847"</f>
        <v>015248847</v>
      </c>
      <c r="F148" s="1" t="s">
        <v>201</v>
      </c>
      <c r="G148" s="3" t="s">
        <v>15</v>
      </c>
      <c r="H148" s="3" t="str">
        <f>"3"</f>
        <v>3</v>
      </c>
      <c r="I148" s="4">
        <v>16.149999999999999</v>
      </c>
      <c r="J148" s="2">
        <v>45873</v>
      </c>
      <c r="K148" s="1" t="s">
        <v>368</v>
      </c>
    </row>
    <row r="149" spans="1:11" x14ac:dyDescent="0.35">
      <c r="A149" s="3" t="s">
        <v>93</v>
      </c>
      <c r="B149" s="1" t="s">
        <v>267</v>
      </c>
      <c r="C149" s="1" t="s">
        <v>284</v>
      </c>
      <c r="D149" s="1" t="str">
        <f>"5855"</f>
        <v>5855</v>
      </c>
      <c r="E149" s="1" t="s">
        <v>285</v>
      </c>
      <c r="F149" s="1" t="s">
        <v>286</v>
      </c>
      <c r="G149" s="3" t="s">
        <v>15</v>
      </c>
      <c r="H149" s="3" t="str">
        <f>"1"</f>
        <v>1</v>
      </c>
      <c r="I149" s="4" t="str">
        <f>"35000"</f>
        <v>35000</v>
      </c>
      <c r="J149" s="2">
        <v>45870</v>
      </c>
      <c r="K149" s="1" t="s">
        <v>287</v>
      </c>
    </row>
    <row r="150" spans="1:11" x14ac:dyDescent="0.35">
      <c r="A150" s="3" t="s">
        <v>93</v>
      </c>
      <c r="B150" s="1" t="s">
        <v>203</v>
      </c>
      <c r="C150" s="1" t="s">
        <v>210</v>
      </c>
      <c r="D150" s="1" t="str">
        <f>"4240"</f>
        <v>4240</v>
      </c>
      <c r="E150" s="1" t="str">
        <f>"015045727"</f>
        <v>015045727</v>
      </c>
      <c r="F150" s="1" t="s">
        <v>211</v>
      </c>
      <c r="G150" s="3" t="s">
        <v>15</v>
      </c>
      <c r="H150" s="3" t="str">
        <f>"25"</f>
        <v>25</v>
      </c>
      <c r="I150" s="4">
        <v>71.790000000000006</v>
      </c>
      <c r="J150" s="2">
        <v>45868</v>
      </c>
      <c r="K150" s="1" t="s">
        <v>212</v>
      </c>
    </row>
    <row r="151" spans="1:11" x14ac:dyDescent="0.35">
      <c r="A151" s="3" t="s">
        <v>93</v>
      </c>
      <c r="B151" s="1" t="s">
        <v>203</v>
      </c>
      <c r="C151" s="1" t="s">
        <v>213</v>
      </c>
      <c r="D151" s="1" t="str">
        <f>"4240"</f>
        <v>4240</v>
      </c>
      <c r="E151" s="1" t="str">
        <f>"016308327"</f>
        <v>016308327</v>
      </c>
      <c r="F151" s="1" t="s">
        <v>214</v>
      </c>
      <c r="G151" s="3" t="s">
        <v>15</v>
      </c>
      <c r="H151" s="3" t="str">
        <f>"25"</f>
        <v>25</v>
      </c>
      <c r="I151" s="4">
        <v>47.84</v>
      </c>
      <c r="J151" s="2">
        <v>45868</v>
      </c>
      <c r="K151" s="1" t="s">
        <v>215</v>
      </c>
    </row>
    <row r="152" spans="1:11" x14ac:dyDescent="0.35">
      <c r="A152" s="3" t="s">
        <v>93</v>
      </c>
      <c r="B152" s="1" t="s">
        <v>203</v>
      </c>
      <c r="C152" s="1" t="s">
        <v>226</v>
      </c>
      <c r="D152" s="1" t="str">
        <f>"8405"</f>
        <v>8405</v>
      </c>
      <c r="E152" s="1" t="str">
        <f>"016632660"</f>
        <v>016632660</v>
      </c>
      <c r="F152" s="1" t="s">
        <v>227</v>
      </c>
      <c r="G152" s="3" t="s">
        <v>15</v>
      </c>
      <c r="H152" s="3" t="str">
        <f>"10"</f>
        <v>10</v>
      </c>
      <c r="I152" s="4">
        <v>13.19</v>
      </c>
      <c r="J152" s="2">
        <v>45868</v>
      </c>
      <c r="K152" s="1" t="s">
        <v>228</v>
      </c>
    </row>
    <row r="153" spans="1:11" x14ac:dyDescent="0.35">
      <c r="A153" s="3" t="s">
        <v>93</v>
      </c>
      <c r="B153" s="1" t="s">
        <v>203</v>
      </c>
      <c r="C153" s="1" t="s">
        <v>229</v>
      </c>
      <c r="D153" s="1" t="str">
        <f>"8405"</f>
        <v>8405</v>
      </c>
      <c r="E153" s="1" t="str">
        <f>"016632951"</f>
        <v>016632951</v>
      </c>
      <c r="F153" s="1" t="s">
        <v>227</v>
      </c>
      <c r="G153" s="3" t="s">
        <v>15</v>
      </c>
      <c r="H153" s="3" t="str">
        <f>"10"</f>
        <v>10</v>
      </c>
      <c r="I153" s="4">
        <v>13.19</v>
      </c>
      <c r="J153" s="2">
        <v>45868</v>
      </c>
      <c r="K153" s="1" t="s">
        <v>228</v>
      </c>
    </row>
    <row r="154" spans="1:11" x14ac:dyDescent="0.35">
      <c r="A154" s="3" t="s">
        <v>93</v>
      </c>
      <c r="B154" s="1" t="s">
        <v>203</v>
      </c>
      <c r="C154" s="1" t="s">
        <v>230</v>
      </c>
      <c r="D154" s="1" t="str">
        <f>"8405"</f>
        <v>8405</v>
      </c>
      <c r="E154" s="1" t="str">
        <f>"016632662"</f>
        <v>016632662</v>
      </c>
      <c r="F154" s="1" t="s">
        <v>227</v>
      </c>
      <c r="G154" s="3" t="s">
        <v>15</v>
      </c>
      <c r="H154" s="3" t="str">
        <f>"10"</f>
        <v>10</v>
      </c>
      <c r="I154" s="4">
        <v>13.19</v>
      </c>
      <c r="J154" s="2">
        <v>45868</v>
      </c>
      <c r="K154" s="1" t="s">
        <v>228</v>
      </c>
    </row>
    <row r="155" spans="1:11" x14ac:dyDescent="0.35">
      <c r="A155" s="3" t="s">
        <v>93</v>
      </c>
      <c r="B155" s="1" t="s">
        <v>203</v>
      </c>
      <c r="C155" s="1" t="s">
        <v>231</v>
      </c>
      <c r="D155" s="1" t="str">
        <f>"8415"</f>
        <v>8415</v>
      </c>
      <c r="E155" s="1" t="str">
        <f>"015908424"</f>
        <v>015908424</v>
      </c>
      <c r="F155" s="1" t="s">
        <v>232</v>
      </c>
      <c r="G155" s="3" t="s">
        <v>15</v>
      </c>
      <c r="H155" s="3" t="str">
        <f>"10"</f>
        <v>10</v>
      </c>
      <c r="I155" s="4">
        <v>12.88</v>
      </c>
      <c r="J155" s="2">
        <v>45868</v>
      </c>
      <c r="K155" s="1" t="s">
        <v>233</v>
      </c>
    </row>
    <row r="156" spans="1:11" x14ac:dyDescent="0.35">
      <c r="A156" s="3" t="s">
        <v>93</v>
      </c>
      <c r="B156" s="1" t="s">
        <v>203</v>
      </c>
      <c r="C156" s="1" t="s">
        <v>234</v>
      </c>
      <c r="D156" s="1" t="str">
        <f>"8415"</f>
        <v>8415</v>
      </c>
      <c r="E156" s="1" t="str">
        <f>"015908425"</f>
        <v>015908425</v>
      </c>
      <c r="F156" s="1" t="s">
        <v>232</v>
      </c>
      <c r="G156" s="3" t="s">
        <v>15</v>
      </c>
      <c r="H156" s="3" t="str">
        <f>"10"</f>
        <v>10</v>
      </c>
      <c r="I156" s="4">
        <v>12.88</v>
      </c>
      <c r="J156" s="2">
        <v>45868</v>
      </c>
      <c r="K156" s="1" t="s">
        <v>233</v>
      </c>
    </row>
    <row r="157" spans="1:11" x14ac:dyDescent="0.35">
      <c r="A157" s="3" t="s">
        <v>93</v>
      </c>
      <c r="B157" s="1" t="s">
        <v>203</v>
      </c>
      <c r="C157" s="1" t="s">
        <v>235</v>
      </c>
      <c r="D157" s="1" t="str">
        <f>"8415"</f>
        <v>8415</v>
      </c>
      <c r="E157" s="1" t="str">
        <f>"015908428"</f>
        <v>015908428</v>
      </c>
      <c r="F157" s="1" t="s">
        <v>232</v>
      </c>
      <c r="G157" s="3" t="s">
        <v>15</v>
      </c>
      <c r="H157" s="3" t="str">
        <f>"10"</f>
        <v>10</v>
      </c>
      <c r="I157" s="4">
        <v>12.88</v>
      </c>
      <c r="J157" s="2">
        <v>45868</v>
      </c>
      <c r="K157" s="1" t="s">
        <v>233</v>
      </c>
    </row>
    <row r="158" spans="1:11" x14ac:dyDescent="0.35">
      <c r="A158" s="3" t="s">
        <v>93</v>
      </c>
      <c r="B158" s="1" t="s">
        <v>109</v>
      </c>
      <c r="C158" s="1" t="s">
        <v>119</v>
      </c>
      <c r="D158" s="1" t="str">
        <f>"4250"</f>
        <v>4250</v>
      </c>
      <c r="E158" s="1" t="s">
        <v>120</v>
      </c>
      <c r="F158" s="1" t="s">
        <v>121</v>
      </c>
      <c r="G158" s="3" t="s">
        <v>15</v>
      </c>
      <c r="H158" s="3" t="str">
        <f>"1"</f>
        <v>1</v>
      </c>
      <c r="I158" s="4" t="str">
        <f>"6000"</f>
        <v>6000</v>
      </c>
      <c r="J158" s="2">
        <v>45867</v>
      </c>
      <c r="K158" s="1" t="s">
        <v>122</v>
      </c>
    </row>
    <row r="159" spans="1:11" x14ac:dyDescent="0.35">
      <c r="A159" s="3" t="s">
        <v>93</v>
      </c>
      <c r="B159" s="1" t="s">
        <v>262</v>
      </c>
      <c r="C159" s="1" t="s">
        <v>263</v>
      </c>
      <c r="D159" s="1" t="str">
        <f>"4910"</f>
        <v>4910</v>
      </c>
      <c r="E159" s="1" t="s">
        <v>264</v>
      </c>
      <c r="F159" s="1" t="s">
        <v>265</v>
      </c>
      <c r="G159" s="3" t="s">
        <v>15</v>
      </c>
      <c r="H159" s="3" t="str">
        <f>"2"</f>
        <v>2</v>
      </c>
      <c r="I159" s="4">
        <v>12249.99</v>
      </c>
      <c r="J159" s="2">
        <v>45867</v>
      </c>
      <c r="K159" s="1" t="s">
        <v>266</v>
      </c>
    </row>
    <row r="160" spans="1:11" x14ac:dyDescent="0.35">
      <c r="A160" s="3" t="s">
        <v>93</v>
      </c>
      <c r="B160" s="1" t="s">
        <v>305</v>
      </c>
      <c r="C160" s="1" t="s">
        <v>309</v>
      </c>
      <c r="D160" s="1" t="str">
        <f>"6230"</f>
        <v>6230</v>
      </c>
      <c r="E160" s="1" t="str">
        <f>"015894822"</f>
        <v>015894822</v>
      </c>
      <c r="F160" s="1" t="s">
        <v>310</v>
      </c>
      <c r="G160" s="3" t="s">
        <v>15</v>
      </c>
      <c r="H160" s="3" t="str">
        <f>"12"</f>
        <v>12</v>
      </c>
      <c r="I160" s="4">
        <v>889.39</v>
      </c>
      <c r="J160" s="2">
        <v>45866</v>
      </c>
      <c r="K160" s="1" t="s">
        <v>311</v>
      </c>
    </row>
    <row r="161" spans="1:11" x14ac:dyDescent="0.35">
      <c r="A161" s="3" t="s">
        <v>93</v>
      </c>
      <c r="B161" s="1" t="s">
        <v>369</v>
      </c>
      <c r="C161" s="1" t="s">
        <v>380</v>
      </c>
      <c r="D161" s="1" t="str">
        <f>"5895"</f>
        <v>5895</v>
      </c>
      <c r="E161" s="1" t="str">
        <f>"016129051"</f>
        <v>016129051</v>
      </c>
      <c r="F161" s="1" t="s">
        <v>381</v>
      </c>
      <c r="G161" s="3" t="s">
        <v>15</v>
      </c>
      <c r="H161" s="3" t="str">
        <f>"10"</f>
        <v>10</v>
      </c>
      <c r="I161" s="4">
        <v>5933.4</v>
      </c>
      <c r="J161" s="2">
        <v>45863</v>
      </c>
      <c r="K161" s="1" t="s">
        <v>382</v>
      </c>
    </row>
    <row r="162" spans="1:11" x14ac:dyDescent="0.35">
      <c r="A162" s="3" t="s">
        <v>93</v>
      </c>
      <c r="B162" s="1" t="s">
        <v>369</v>
      </c>
      <c r="C162" s="1" t="s">
        <v>383</v>
      </c>
      <c r="D162" s="1" t="str">
        <f>"7021"</f>
        <v>7021</v>
      </c>
      <c r="E162" s="1" t="s">
        <v>384</v>
      </c>
      <c r="F162" s="1" t="s">
        <v>385</v>
      </c>
      <c r="G162" s="3" t="s">
        <v>15</v>
      </c>
      <c r="H162" s="3" t="str">
        <f>"12"</f>
        <v>12</v>
      </c>
      <c r="I162" s="4" t="str">
        <f>"105"</f>
        <v>105</v>
      </c>
      <c r="J162" s="2">
        <v>45863</v>
      </c>
      <c r="K162" s="1" t="s">
        <v>386</v>
      </c>
    </row>
    <row r="163" spans="1:11" x14ac:dyDescent="0.35">
      <c r="A163" s="3" t="s">
        <v>93</v>
      </c>
      <c r="B163" s="1" t="s">
        <v>247</v>
      </c>
      <c r="C163" s="1" t="s">
        <v>248</v>
      </c>
      <c r="D163" s="1" t="str">
        <f>"6515"</f>
        <v>6515</v>
      </c>
      <c r="E163" s="1" t="s">
        <v>249</v>
      </c>
      <c r="F163" s="1" t="s">
        <v>250</v>
      </c>
      <c r="G163" s="3" t="s">
        <v>15</v>
      </c>
      <c r="H163" s="3" t="str">
        <f>"1"</f>
        <v>1</v>
      </c>
      <c r="I163" s="4" t="str">
        <f>"4200"</f>
        <v>4200</v>
      </c>
      <c r="J163" s="2">
        <v>45861</v>
      </c>
      <c r="K163" s="1" t="s">
        <v>251</v>
      </c>
    </row>
    <row r="164" spans="1:11" x14ac:dyDescent="0.35">
      <c r="A164" s="3" t="s">
        <v>93</v>
      </c>
      <c r="B164" s="1" t="s">
        <v>267</v>
      </c>
      <c r="C164" s="1" t="s">
        <v>271</v>
      </c>
      <c r="D164" s="1" t="str">
        <f>"1240"</f>
        <v>1240</v>
      </c>
      <c r="E164" s="1" t="str">
        <f>"014907308"</f>
        <v>014907308</v>
      </c>
      <c r="F164" s="1" t="s">
        <v>269</v>
      </c>
      <c r="G164" s="3" t="s">
        <v>15</v>
      </c>
      <c r="H164" s="3" t="str">
        <f>"7"</f>
        <v>7</v>
      </c>
      <c r="I164" s="4">
        <v>1779.24</v>
      </c>
      <c r="J164" s="2">
        <v>45860</v>
      </c>
      <c r="K164" s="1" t="s">
        <v>272</v>
      </c>
    </row>
    <row r="165" spans="1:11" x14ac:dyDescent="0.35">
      <c r="A165" s="3" t="s">
        <v>93</v>
      </c>
      <c r="B165" s="1" t="s">
        <v>408</v>
      </c>
      <c r="C165" s="1" t="s">
        <v>418</v>
      </c>
      <c r="D165" s="1" t="str">
        <f>"2320"</f>
        <v>2320</v>
      </c>
      <c r="E165" s="1" t="str">
        <f>"012157631"</f>
        <v>012157631</v>
      </c>
      <c r="F165" s="1" t="s">
        <v>117</v>
      </c>
      <c r="G165" s="3" t="s">
        <v>15</v>
      </c>
      <c r="H165" s="3" t="str">
        <f>"1"</f>
        <v>1</v>
      </c>
      <c r="I165" s="4" t="str">
        <f>"33082"</f>
        <v>33082</v>
      </c>
      <c r="J165" s="2">
        <v>45856</v>
      </c>
      <c r="K165" s="1" t="s">
        <v>419</v>
      </c>
    </row>
    <row r="166" spans="1:11" x14ac:dyDescent="0.35">
      <c r="A166" s="3" t="s">
        <v>93</v>
      </c>
      <c r="B166" s="1" t="s">
        <v>408</v>
      </c>
      <c r="C166" s="1" t="s">
        <v>420</v>
      </c>
      <c r="D166" s="1" t="str">
        <f>"5140"</f>
        <v>5140</v>
      </c>
      <c r="E166" s="1" t="str">
        <f>"014797834"</f>
        <v>014797834</v>
      </c>
      <c r="F166" s="1" t="s">
        <v>358</v>
      </c>
      <c r="G166" s="3" t="s">
        <v>15</v>
      </c>
      <c r="H166" s="3" t="str">
        <f>"2"</f>
        <v>2</v>
      </c>
      <c r="I166" s="4">
        <v>658.61</v>
      </c>
      <c r="J166" s="2">
        <v>45856</v>
      </c>
      <c r="K166" s="1" t="s">
        <v>421</v>
      </c>
    </row>
    <row r="167" spans="1:11" x14ac:dyDescent="0.35">
      <c r="A167" s="3" t="s">
        <v>93</v>
      </c>
      <c r="B167" s="1" t="s">
        <v>565</v>
      </c>
      <c r="C167" s="1" t="s">
        <v>586</v>
      </c>
      <c r="D167" s="1" t="str">
        <f>"3805"</f>
        <v>3805</v>
      </c>
      <c r="E167" s="1" t="str">
        <f>"005023614"</f>
        <v>005023614</v>
      </c>
      <c r="F167" s="1" t="s">
        <v>587</v>
      </c>
      <c r="G167" s="3" t="s">
        <v>15</v>
      </c>
      <c r="H167" s="3" t="str">
        <f>"1"</f>
        <v>1</v>
      </c>
      <c r="I167" s="4" t="str">
        <f>"52279"</f>
        <v>52279</v>
      </c>
      <c r="J167" s="2">
        <v>45856</v>
      </c>
      <c r="K167" s="1" t="s">
        <v>588</v>
      </c>
    </row>
    <row r="168" spans="1:11" x14ac:dyDescent="0.35">
      <c r="A168" s="3" t="s">
        <v>93</v>
      </c>
      <c r="B168" s="1" t="s">
        <v>565</v>
      </c>
      <c r="C168" s="1" t="s">
        <v>570</v>
      </c>
      <c r="D168" s="1" t="str">
        <f>"2010"</f>
        <v>2010</v>
      </c>
      <c r="E168" s="1" t="s">
        <v>571</v>
      </c>
      <c r="F168" s="1" t="s">
        <v>572</v>
      </c>
      <c r="G168" s="3" t="s">
        <v>15</v>
      </c>
      <c r="H168" s="3" t="str">
        <f>"1"</f>
        <v>1</v>
      </c>
      <c r="I168" s="4" t="str">
        <f>"3000"</f>
        <v>3000</v>
      </c>
      <c r="J168" s="2">
        <v>45855</v>
      </c>
      <c r="K168" s="1" t="s">
        <v>573</v>
      </c>
    </row>
    <row r="169" spans="1:11" x14ac:dyDescent="0.35">
      <c r="A169" s="3" t="s">
        <v>93</v>
      </c>
      <c r="B169" s="1" t="s">
        <v>565</v>
      </c>
      <c r="C169" s="1" t="s">
        <v>574</v>
      </c>
      <c r="D169" s="1" t="str">
        <f>"2010"</f>
        <v>2010</v>
      </c>
      <c r="E169" s="1" t="s">
        <v>571</v>
      </c>
      <c r="F169" s="1" t="s">
        <v>572</v>
      </c>
      <c r="G169" s="3" t="s">
        <v>15</v>
      </c>
      <c r="H169" s="3" t="str">
        <f>"1"</f>
        <v>1</v>
      </c>
      <c r="I169" s="4" t="str">
        <f>"3000"</f>
        <v>3000</v>
      </c>
      <c r="J169" s="2">
        <v>45855</v>
      </c>
      <c r="K169" s="1" t="s">
        <v>573</v>
      </c>
    </row>
    <row r="170" spans="1:11" x14ac:dyDescent="0.35">
      <c r="A170" s="3" t="s">
        <v>93</v>
      </c>
      <c r="B170" s="1" t="s">
        <v>203</v>
      </c>
      <c r="C170" s="1" t="s">
        <v>204</v>
      </c>
      <c r="D170" s="1" t="str">
        <f>"1095"</f>
        <v>1095</v>
      </c>
      <c r="E170" s="1" t="str">
        <f>"004070674"</f>
        <v>004070674</v>
      </c>
      <c r="F170" s="1" t="s">
        <v>205</v>
      </c>
      <c r="G170" s="3" t="s">
        <v>15</v>
      </c>
      <c r="H170" s="3" t="str">
        <f>"6"</f>
        <v>6</v>
      </c>
      <c r="I170" s="4">
        <v>1265.94</v>
      </c>
      <c r="J170" s="2">
        <v>45853</v>
      </c>
      <c r="K170" s="1" t="s">
        <v>206</v>
      </c>
    </row>
    <row r="171" spans="1:11" x14ac:dyDescent="0.35">
      <c r="A171" s="3" t="s">
        <v>93</v>
      </c>
      <c r="B171" s="1" t="s">
        <v>203</v>
      </c>
      <c r="C171" s="1" t="s">
        <v>236</v>
      </c>
      <c r="D171" s="1" t="str">
        <f>"8465"</f>
        <v>8465</v>
      </c>
      <c r="E171" s="1" t="str">
        <f>"014652058"</f>
        <v>014652058</v>
      </c>
      <c r="F171" s="1" t="s">
        <v>237</v>
      </c>
      <c r="G171" s="3" t="s">
        <v>15</v>
      </c>
      <c r="H171" s="3" t="str">
        <f>"6"</f>
        <v>6</v>
      </c>
      <c r="I171" s="4">
        <v>11.91</v>
      </c>
      <c r="J171" s="2">
        <v>45853</v>
      </c>
      <c r="K171" s="1" t="s">
        <v>238</v>
      </c>
    </row>
    <row r="172" spans="1:11" x14ac:dyDescent="0.35">
      <c r="A172" s="3" t="s">
        <v>93</v>
      </c>
      <c r="B172" s="1" t="s">
        <v>203</v>
      </c>
      <c r="C172" s="1" t="s">
        <v>239</v>
      </c>
      <c r="D172" s="1" t="str">
        <f>"8465"</f>
        <v>8465</v>
      </c>
      <c r="E172" s="1" t="str">
        <f>"014652152"</f>
        <v>014652152</v>
      </c>
      <c r="F172" s="1" t="s">
        <v>240</v>
      </c>
      <c r="G172" s="3" t="s">
        <v>15</v>
      </c>
      <c r="H172" s="3" t="str">
        <f>"21"</f>
        <v>21</v>
      </c>
      <c r="I172" s="4">
        <v>10.050000000000001</v>
      </c>
      <c r="J172" s="2">
        <v>45853</v>
      </c>
      <c r="K172" s="1" t="s">
        <v>241</v>
      </c>
    </row>
    <row r="173" spans="1:11" x14ac:dyDescent="0.35">
      <c r="A173" s="3" t="s">
        <v>93</v>
      </c>
      <c r="B173" s="1" t="s">
        <v>450</v>
      </c>
      <c r="C173" s="1" t="s">
        <v>460</v>
      </c>
      <c r="D173" s="1" t="str">
        <f>"2320"</f>
        <v>2320</v>
      </c>
      <c r="E173" s="1" t="s">
        <v>321</v>
      </c>
      <c r="F173" s="1" t="s">
        <v>322</v>
      </c>
      <c r="G173" s="3" t="s">
        <v>15</v>
      </c>
      <c r="H173" s="3" t="str">
        <f>"1"</f>
        <v>1</v>
      </c>
      <c r="I173" s="4" t="str">
        <f>"68238"</f>
        <v>68238</v>
      </c>
      <c r="J173" s="2">
        <v>45853</v>
      </c>
      <c r="K173" s="1" t="s">
        <v>461</v>
      </c>
    </row>
    <row r="174" spans="1:11" x14ac:dyDescent="0.35">
      <c r="A174" s="3" t="s">
        <v>93</v>
      </c>
      <c r="B174" s="1" t="s">
        <v>450</v>
      </c>
      <c r="C174" s="1" t="s">
        <v>544</v>
      </c>
      <c r="D174" s="1" t="str">
        <f>"7125"</f>
        <v>7125</v>
      </c>
      <c r="E174" s="1" t="s">
        <v>545</v>
      </c>
      <c r="F174" s="1" t="s">
        <v>546</v>
      </c>
      <c r="G174" s="3" t="s">
        <v>547</v>
      </c>
      <c r="H174" s="3" t="str">
        <f>"1"</f>
        <v>1</v>
      </c>
      <c r="I174" s="4" t="str">
        <f>"100"</f>
        <v>100</v>
      </c>
      <c r="J174" s="2">
        <v>45853</v>
      </c>
      <c r="K174" s="1" t="s">
        <v>548</v>
      </c>
    </row>
    <row r="175" spans="1:11" x14ac:dyDescent="0.35">
      <c r="A175" s="3" t="s">
        <v>93</v>
      </c>
      <c r="B175" s="1" t="s">
        <v>450</v>
      </c>
      <c r="C175" s="1" t="s">
        <v>549</v>
      </c>
      <c r="D175" s="1" t="str">
        <f>"7125"</f>
        <v>7125</v>
      </c>
      <c r="E175" s="1" t="s">
        <v>545</v>
      </c>
      <c r="F175" s="1" t="s">
        <v>546</v>
      </c>
      <c r="G175" s="3" t="s">
        <v>547</v>
      </c>
      <c r="H175" s="3" t="str">
        <f>"1"</f>
        <v>1</v>
      </c>
      <c r="I175" s="4" t="str">
        <f>"100"</f>
        <v>100</v>
      </c>
      <c r="J175" s="2">
        <v>45853</v>
      </c>
      <c r="K175" s="1" t="s">
        <v>548</v>
      </c>
    </row>
    <row r="176" spans="1:11" x14ac:dyDescent="0.35">
      <c r="A176" s="3" t="s">
        <v>93</v>
      </c>
      <c r="B176" s="1" t="s">
        <v>450</v>
      </c>
      <c r="C176" s="1" t="s">
        <v>550</v>
      </c>
      <c r="D176" s="1" t="str">
        <f>"7125"</f>
        <v>7125</v>
      </c>
      <c r="E176" s="1" t="s">
        <v>545</v>
      </c>
      <c r="F176" s="1" t="s">
        <v>546</v>
      </c>
      <c r="G176" s="3" t="s">
        <v>547</v>
      </c>
      <c r="H176" s="3" t="str">
        <f>"1"</f>
        <v>1</v>
      </c>
      <c r="I176" s="4" t="str">
        <f>"100"</f>
        <v>100</v>
      </c>
      <c r="J176" s="2">
        <v>45853</v>
      </c>
      <c r="K176" s="1" t="s">
        <v>548</v>
      </c>
    </row>
    <row r="177" spans="1:11" x14ac:dyDescent="0.35">
      <c r="A177" s="3" t="s">
        <v>93</v>
      </c>
      <c r="B177" s="1" t="s">
        <v>450</v>
      </c>
      <c r="C177" s="1" t="s">
        <v>551</v>
      </c>
      <c r="D177" s="1" t="str">
        <f>"7125"</f>
        <v>7125</v>
      </c>
      <c r="E177" s="1" t="s">
        <v>545</v>
      </c>
      <c r="F177" s="1" t="s">
        <v>546</v>
      </c>
      <c r="G177" s="3" t="s">
        <v>547</v>
      </c>
      <c r="H177" s="3" t="str">
        <f>"1"</f>
        <v>1</v>
      </c>
      <c r="I177" s="4" t="str">
        <f>"100"</f>
        <v>100</v>
      </c>
      <c r="J177" s="2">
        <v>45853</v>
      </c>
      <c r="K177" s="1" t="s">
        <v>548</v>
      </c>
    </row>
    <row r="178" spans="1:11" x14ac:dyDescent="0.35">
      <c r="A178" s="3" t="s">
        <v>93</v>
      </c>
      <c r="B178" s="1" t="s">
        <v>403</v>
      </c>
      <c r="C178" s="1" t="s">
        <v>404</v>
      </c>
      <c r="D178" s="1" t="str">
        <f>"2420"</f>
        <v>2420</v>
      </c>
      <c r="E178" s="1" t="s">
        <v>405</v>
      </c>
      <c r="F178" s="1" t="s">
        <v>406</v>
      </c>
      <c r="G178" s="3" t="s">
        <v>15</v>
      </c>
      <c r="H178" s="3" t="str">
        <f>"1"</f>
        <v>1</v>
      </c>
      <c r="I178" s="4" t="str">
        <f>"40591"</f>
        <v>40591</v>
      </c>
      <c r="J178" s="2">
        <v>45852</v>
      </c>
      <c r="K178" s="1" t="s">
        <v>407</v>
      </c>
    </row>
    <row r="179" spans="1:11" x14ac:dyDescent="0.35">
      <c r="A179" s="3" t="s">
        <v>93</v>
      </c>
      <c r="B179" s="1" t="s">
        <v>565</v>
      </c>
      <c r="C179" s="1" t="s">
        <v>577</v>
      </c>
      <c r="D179" s="1" t="str">
        <f>"2330"</f>
        <v>2330</v>
      </c>
      <c r="E179" s="1" t="s">
        <v>70</v>
      </c>
      <c r="F179" s="1" t="s">
        <v>71</v>
      </c>
      <c r="G179" s="3" t="s">
        <v>15</v>
      </c>
      <c r="H179" s="3" t="str">
        <f>"1"</f>
        <v>1</v>
      </c>
      <c r="I179" s="4" t="str">
        <f>"3055"</f>
        <v>3055</v>
      </c>
      <c r="J179" s="2">
        <v>45852</v>
      </c>
      <c r="K179" s="1" t="s">
        <v>578</v>
      </c>
    </row>
    <row r="180" spans="1:11" x14ac:dyDescent="0.35">
      <c r="A180" s="3" t="s">
        <v>93</v>
      </c>
      <c r="B180" s="1" t="s">
        <v>305</v>
      </c>
      <c r="C180" s="1" t="s">
        <v>306</v>
      </c>
      <c r="D180" s="1" t="str">
        <f>"2320"</f>
        <v>2320</v>
      </c>
      <c r="E180" s="1" t="str">
        <f>"009260887"</f>
        <v>009260887</v>
      </c>
      <c r="F180" s="1" t="s">
        <v>307</v>
      </c>
      <c r="G180" s="3" t="s">
        <v>15</v>
      </c>
      <c r="H180" s="3" t="str">
        <f>"1"</f>
        <v>1</v>
      </c>
      <c r="I180" s="4">
        <v>7376.17</v>
      </c>
      <c r="J180" s="2">
        <v>45849</v>
      </c>
      <c r="K180" s="1" t="s">
        <v>308</v>
      </c>
    </row>
    <row r="181" spans="1:11" x14ac:dyDescent="0.35">
      <c r="A181" s="3" t="s">
        <v>93</v>
      </c>
      <c r="B181" s="1" t="s">
        <v>597</v>
      </c>
      <c r="C181" s="1" t="s">
        <v>598</v>
      </c>
      <c r="D181" s="1" t="str">
        <f>"8145"</f>
        <v>8145</v>
      </c>
      <c r="E181" s="1" t="str">
        <f>"014653621"</f>
        <v>014653621</v>
      </c>
      <c r="F181" s="1" t="s">
        <v>599</v>
      </c>
      <c r="G181" s="3" t="s">
        <v>15</v>
      </c>
      <c r="H181" s="3" t="str">
        <f>"1"</f>
        <v>1</v>
      </c>
      <c r="I181" s="4">
        <v>17546.419999999998</v>
      </c>
      <c r="J181" s="2">
        <v>45849</v>
      </c>
      <c r="K181" s="1" t="s">
        <v>600</v>
      </c>
    </row>
    <row r="182" spans="1:11" x14ac:dyDescent="0.35">
      <c r="A182" s="3" t="s">
        <v>93</v>
      </c>
      <c r="B182" s="1" t="s">
        <v>242</v>
      </c>
      <c r="C182" s="1" t="s">
        <v>245</v>
      </c>
      <c r="D182" s="1" t="str">
        <f>"2330"</f>
        <v>2330</v>
      </c>
      <c r="E182" s="1" t="s">
        <v>70</v>
      </c>
      <c r="F182" s="1" t="s">
        <v>71</v>
      </c>
      <c r="G182" s="3" t="s">
        <v>15</v>
      </c>
      <c r="H182" s="3" t="str">
        <f>"1"</f>
        <v>1</v>
      </c>
      <c r="I182" s="4" t="str">
        <f>"36000"</f>
        <v>36000</v>
      </c>
      <c r="J182" s="2">
        <v>45848</v>
      </c>
      <c r="K182" s="1" t="s">
        <v>246</v>
      </c>
    </row>
    <row r="183" spans="1:11" x14ac:dyDescent="0.35">
      <c r="A183" s="3" t="s">
        <v>93</v>
      </c>
      <c r="B183" s="1" t="s">
        <v>390</v>
      </c>
      <c r="C183" s="1" t="s">
        <v>399</v>
      </c>
      <c r="D183" s="1" t="str">
        <f>"6210"</f>
        <v>6210</v>
      </c>
      <c r="E183" s="1" t="s">
        <v>400</v>
      </c>
      <c r="F183" s="1" t="s">
        <v>401</v>
      </c>
      <c r="G183" s="3" t="s">
        <v>15</v>
      </c>
      <c r="H183" s="3" t="str">
        <f>"1"</f>
        <v>1</v>
      </c>
      <c r="I183" s="4" t="str">
        <f>"5499"</f>
        <v>5499</v>
      </c>
      <c r="J183" s="2">
        <v>45847</v>
      </c>
      <c r="K183" s="1" t="s">
        <v>402</v>
      </c>
    </row>
    <row r="184" spans="1:11" x14ac:dyDescent="0.35">
      <c r="A184" s="3" t="s">
        <v>93</v>
      </c>
      <c r="B184" s="1" t="s">
        <v>137</v>
      </c>
      <c r="C184" s="1" t="s">
        <v>145</v>
      </c>
      <c r="D184" s="1" t="str">
        <f>"3431"</f>
        <v>3431</v>
      </c>
      <c r="E184" s="1" t="s">
        <v>146</v>
      </c>
      <c r="F184" s="1" t="s">
        <v>147</v>
      </c>
      <c r="G184" s="3" t="s">
        <v>15</v>
      </c>
      <c r="H184" s="3" t="str">
        <f>"2"</f>
        <v>2</v>
      </c>
      <c r="I184" s="4" t="str">
        <f>"4895"</f>
        <v>4895</v>
      </c>
      <c r="J184" s="2">
        <v>45846</v>
      </c>
      <c r="K184" s="1" t="s">
        <v>148</v>
      </c>
    </row>
    <row r="185" spans="1:11" x14ac:dyDescent="0.35">
      <c r="A185" s="3" t="s">
        <v>93</v>
      </c>
      <c r="B185" s="1" t="s">
        <v>137</v>
      </c>
      <c r="C185" s="1" t="s">
        <v>173</v>
      </c>
      <c r="D185" s="1" t="str">
        <f>"6115"</f>
        <v>6115</v>
      </c>
      <c r="E185" s="1" t="s">
        <v>174</v>
      </c>
      <c r="F185" s="1" t="s">
        <v>175</v>
      </c>
      <c r="G185" s="3" t="s">
        <v>15</v>
      </c>
      <c r="H185" s="3" t="str">
        <f>"1"</f>
        <v>1</v>
      </c>
      <c r="I185" s="4">
        <v>5556.25</v>
      </c>
      <c r="J185" s="2">
        <v>45846</v>
      </c>
      <c r="K185" s="1" t="s">
        <v>176</v>
      </c>
    </row>
    <row r="186" spans="1:11" x14ac:dyDescent="0.35">
      <c r="A186" s="3" t="s">
        <v>93</v>
      </c>
      <c r="B186" s="1" t="s">
        <v>137</v>
      </c>
      <c r="C186" s="1" t="s">
        <v>177</v>
      </c>
      <c r="D186" s="1" t="str">
        <f>"6230"</f>
        <v>6230</v>
      </c>
      <c r="E186" s="1" t="s">
        <v>178</v>
      </c>
      <c r="F186" s="1" t="s">
        <v>179</v>
      </c>
      <c r="G186" s="3" t="s">
        <v>15</v>
      </c>
      <c r="H186" s="3" t="str">
        <f>"7"</f>
        <v>7</v>
      </c>
      <c r="I186" s="4" t="str">
        <f>"1040"</f>
        <v>1040</v>
      </c>
      <c r="J186" s="2">
        <v>45846</v>
      </c>
      <c r="K186" s="1" t="s">
        <v>180</v>
      </c>
    </row>
    <row r="187" spans="1:11" x14ac:dyDescent="0.35">
      <c r="A187" s="3" t="s">
        <v>93</v>
      </c>
      <c r="B187" s="1" t="s">
        <v>137</v>
      </c>
      <c r="C187" s="1" t="s">
        <v>188</v>
      </c>
      <c r="D187" s="1" t="str">
        <f>"7830"</f>
        <v>7830</v>
      </c>
      <c r="E187" s="1" t="s">
        <v>189</v>
      </c>
      <c r="F187" s="1" t="s">
        <v>190</v>
      </c>
      <c r="G187" s="3" t="s">
        <v>15</v>
      </c>
      <c r="H187" s="3" t="str">
        <f>"1"</f>
        <v>1</v>
      </c>
      <c r="I187" s="4" t="str">
        <f>"500"</f>
        <v>500</v>
      </c>
      <c r="J187" s="2">
        <v>45846</v>
      </c>
      <c r="K187" s="1" t="s">
        <v>191</v>
      </c>
    </row>
    <row r="188" spans="1:11" x14ac:dyDescent="0.35">
      <c r="A188" s="3" t="s">
        <v>93</v>
      </c>
      <c r="B188" s="1" t="s">
        <v>137</v>
      </c>
      <c r="C188" s="1" t="s">
        <v>192</v>
      </c>
      <c r="D188" s="1" t="str">
        <f>"8150"</f>
        <v>8150</v>
      </c>
      <c r="E188" s="1" t="s">
        <v>193</v>
      </c>
      <c r="F188" s="1" t="s">
        <v>194</v>
      </c>
      <c r="G188" s="3" t="s">
        <v>15</v>
      </c>
      <c r="H188" s="3" t="str">
        <f>"1"</f>
        <v>1</v>
      </c>
      <c r="I188" s="4" t="str">
        <f>"4500"</f>
        <v>4500</v>
      </c>
      <c r="J188" s="2">
        <v>45846</v>
      </c>
      <c r="K188" s="1" t="s">
        <v>195</v>
      </c>
    </row>
    <row r="189" spans="1:11" x14ac:dyDescent="0.35">
      <c r="A189" s="3" t="s">
        <v>93</v>
      </c>
      <c r="B189" s="1" t="s">
        <v>408</v>
      </c>
      <c r="C189" s="1" t="s">
        <v>409</v>
      </c>
      <c r="D189" s="1" t="str">
        <f>"2310"</f>
        <v>2310</v>
      </c>
      <c r="E189" s="1" t="str">
        <f>"010942383"</f>
        <v>010942383</v>
      </c>
      <c r="F189" s="1" t="s">
        <v>410</v>
      </c>
      <c r="G189" s="3" t="s">
        <v>15</v>
      </c>
      <c r="H189" s="3" t="str">
        <f>"1"</f>
        <v>1</v>
      </c>
      <c r="I189" s="4" t="str">
        <f>"5300"</f>
        <v>5300</v>
      </c>
      <c r="J189" s="2">
        <v>45846</v>
      </c>
      <c r="K189" s="1" t="s">
        <v>411</v>
      </c>
    </row>
    <row r="190" spans="1:11" x14ac:dyDescent="0.35">
      <c r="A190" s="3" t="s">
        <v>93</v>
      </c>
      <c r="B190" s="1" t="s">
        <v>408</v>
      </c>
      <c r="C190" s="1" t="s">
        <v>416</v>
      </c>
      <c r="D190" s="1" t="str">
        <f>"2320"</f>
        <v>2320</v>
      </c>
      <c r="E190" s="1" t="str">
        <f>"012157631"</f>
        <v>012157631</v>
      </c>
      <c r="F190" s="1" t="s">
        <v>117</v>
      </c>
      <c r="G190" s="3" t="s">
        <v>15</v>
      </c>
      <c r="H190" s="3" t="str">
        <f>"1"</f>
        <v>1</v>
      </c>
      <c r="I190" s="4" t="str">
        <f>"33082"</f>
        <v>33082</v>
      </c>
      <c r="J190" s="2">
        <v>45846</v>
      </c>
      <c r="K190" s="1" t="s">
        <v>417</v>
      </c>
    </row>
    <row r="191" spans="1:11" x14ac:dyDescent="0.35">
      <c r="A191" s="3" t="s">
        <v>93</v>
      </c>
      <c r="B191" s="1" t="s">
        <v>369</v>
      </c>
      <c r="C191" s="1" t="s">
        <v>370</v>
      </c>
      <c r="D191" s="1" t="str">
        <f>"1095"</f>
        <v>1095</v>
      </c>
      <c r="E191" s="1" t="str">
        <f>"015432189"</f>
        <v>015432189</v>
      </c>
      <c r="F191" s="1" t="s">
        <v>106</v>
      </c>
      <c r="G191" s="3" t="s">
        <v>15</v>
      </c>
      <c r="H191" s="3" t="str">
        <f>"1"</f>
        <v>1</v>
      </c>
      <c r="I191" s="4" t="str">
        <f>"959"</f>
        <v>959</v>
      </c>
      <c r="J191" s="2">
        <v>45840</v>
      </c>
      <c r="K191" s="1" t="s">
        <v>371</v>
      </c>
    </row>
    <row r="192" spans="1:11" x14ac:dyDescent="0.35">
      <c r="A192" s="3" t="s">
        <v>93</v>
      </c>
      <c r="B192" s="1" t="s">
        <v>369</v>
      </c>
      <c r="C192" s="1" t="s">
        <v>375</v>
      </c>
      <c r="D192" s="1" t="str">
        <f>"3431"</f>
        <v>3431</v>
      </c>
      <c r="E192" s="1" t="s">
        <v>146</v>
      </c>
      <c r="F192" s="1" t="s">
        <v>147</v>
      </c>
      <c r="G192" s="3" t="s">
        <v>15</v>
      </c>
      <c r="H192" s="3" t="str">
        <f>"2"</f>
        <v>2</v>
      </c>
      <c r="I192" s="4">
        <v>5480.1</v>
      </c>
      <c r="J192" s="2">
        <v>45840</v>
      </c>
      <c r="K192" s="1" t="s">
        <v>376</v>
      </c>
    </row>
    <row r="193" spans="1:11" x14ac:dyDescent="0.35">
      <c r="A193" s="3" t="s">
        <v>93</v>
      </c>
      <c r="B193" s="1" t="s">
        <v>390</v>
      </c>
      <c r="C193" s="1" t="s">
        <v>395</v>
      </c>
      <c r="D193" s="1" t="str">
        <f>"3895"</f>
        <v>3895</v>
      </c>
      <c r="E193" s="1" t="s">
        <v>396</v>
      </c>
      <c r="F193" s="1" t="s">
        <v>397</v>
      </c>
      <c r="G193" s="3" t="s">
        <v>15</v>
      </c>
      <c r="H193" s="3" t="str">
        <f>"1"</f>
        <v>1</v>
      </c>
      <c r="I193" s="4" t="str">
        <f>"14188"</f>
        <v>14188</v>
      </c>
      <c r="J193" s="2">
        <v>45840</v>
      </c>
      <c r="K193" s="1" t="s">
        <v>398</v>
      </c>
    </row>
    <row r="194" spans="1:11" x14ac:dyDescent="0.35">
      <c r="A194" s="3" t="s">
        <v>93</v>
      </c>
      <c r="B194" s="1" t="s">
        <v>430</v>
      </c>
      <c r="C194" s="1" t="s">
        <v>431</v>
      </c>
      <c r="D194" s="1" t="str">
        <f>"2320"</f>
        <v>2320</v>
      </c>
      <c r="E194" s="1" t="str">
        <f>"005401428"</f>
        <v>005401428</v>
      </c>
      <c r="F194" s="1" t="s">
        <v>373</v>
      </c>
      <c r="G194" s="3" t="s">
        <v>15</v>
      </c>
      <c r="H194" s="3" t="str">
        <f>"1"</f>
        <v>1</v>
      </c>
      <c r="I194" s="4" t="str">
        <f>"13334"</f>
        <v>13334</v>
      </c>
      <c r="J194" s="2">
        <v>45840</v>
      </c>
      <c r="K194" s="1" t="s">
        <v>432</v>
      </c>
    </row>
    <row r="195" spans="1:11" x14ac:dyDescent="0.35">
      <c r="A195" s="3" t="s">
        <v>93</v>
      </c>
      <c r="B195" s="1" t="s">
        <v>450</v>
      </c>
      <c r="C195" s="1" t="s">
        <v>457</v>
      </c>
      <c r="D195" s="1" t="str">
        <f>"1940"</f>
        <v>1940</v>
      </c>
      <c r="E195" s="1" t="str">
        <f>"010894486"</f>
        <v>010894486</v>
      </c>
      <c r="F195" s="1" t="s">
        <v>458</v>
      </c>
      <c r="G195" s="3" t="s">
        <v>15</v>
      </c>
      <c r="H195" s="3" t="str">
        <f>"1"</f>
        <v>1</v>
      </c>
      <c r="I195" s="4" t="str">
        <f>"622"</f>
        <v>622</v>
      </c>
      <c r="J195" s="2">
        <v>45839</v>
      </c>
      <c r="K195" s="1" t="s">
        <v>459</v>
      </c>
    </row>
    <row r="196" spans="1:11" x14ac:dyDescent="0.35">
      <c r="A196" s="3" t="s">
        <v>93</v>
      </c>
      <c r="B196" s="1" t="s">
        <v>450</v>
      </c>
      <c r="C196" s="1" t="s">
        <v>479</v>
      </c>
      <c r="D196" s="1" t="str">
        <f>"3438"</f>
        <v>3438</v>
      </c>
      <c r="E196" s="1" t="s">
        <v>480</v>
      </c>
      <c r="F196" s="1" t="s">
        <v>481</v>
      </c>
      <c r="G196" s="3" t="s">
        <v>15</v>
      </c>
      <c r="H196" s="3" t="str">
        <f>"6"</f>
        <v>6</v>
      </c>
      <c r="I196" s="4" t="str">
        <f>"1000"</f>
        <v>1000</v>
      </c>
      <c r="J196" s="2">
        <v>45839</v>
      </c>
      <c r="K196" s="1" t="s">
        <v>482</v>
      </c>
    </row>
    <row r="197" spans="1:11" x14ac:dyDescent="0.35">
      <c r="A197" s="3" t="s">
        <v>93</v>
      </c>
      <c r="B197" s="1" t="s">
        <v>450</v>
      </c>
      <c r="C197" s="1" t="s">
        <v>483</v>
      </c>
      <c r="D197" s="1" t="str">
        <f>"3438"</f>
        <v>3438</v>
      </c>
      <c r="E197" s="1" t="s">
        <v>480</v>
      </c>
      <c r="F197" s="1" t="s">
        <v>481</v>
      </c>
      <c r="G197" s="3" t="s">
        <v>15</v>
      </c>
      <c r="H197" s="3" t="str">
        <f>"5"</f>
        <v>5</v>
      </c>
      <c r="I197" s="4" t="str">
        <f>"100"</f>
        <v>100</v>
      </c>
      <c r="J197" s="2">
        <v>45839</v>
      </c>
      <c r="K197" s="1" t="s">
        <v>484</v>
      </c>
    </row>
    <row r="198" spans="1:11" x14ac:dyDescent="0.35">
      <c r="A198" s="3" t="s">
        <v>93</v>
      </c>
      <c r="B198" s="1" t="s">
        <v>450</v>
      </c>
      <c r="C198" s="1" t="s">
        <v>489</v>
      </c>
      <c r="D198" s="1" t="str">
        <f>"3930"</f>
        <v>3930</v>
      </c>
      <c r="E198" s="1" t="s">
        <v>150</v>
      </c>
      <c r="F198" s="1" t="s">
        <v>151</v>
      </c>
      <c r="G198" s="3" t="s">
        <v>15</v>
      </c>
      <c r="H198" s="3" t="str">
        <f>"1"</f>
        <v>1</v>
      </c>
      <c r="I198" s="4" t="str">
        <f>"32526"</f>
        <v>32526</v>
      </c>
      <c r="J198" s="2">
        <v>45839</v>
      </c>
      <c r="K198" s="1" t="s">
        <v>490</v>
      </c>
    </row>
    <row r="199" spans="1:11" x14ac:dyDescent="0.35">
      <c r="A199" s="3" t="s">
        <v>93</v>
      </c>
      <c r="B199" s="1" t="s">
        <v>450</v>
      </c>
      <c r="C199" s="1" t="s">
        <v>534</v>
      </c>
      <c r="D199" s="1" t="str">
        <f>"6220"</f>
        <v>6220</v>
      </c>
      <c r="E199" s="1" t="str">
        <f>"015759838"</f>
        <v>015759838</v>
      </c>
      <c r="F199" s="1" t="s">
        <v>535</v>
      </c>
      <c r="G199" s="3" t="s">
        <v>15</v>
      </c>
      <c r="H199" s="3" t="str">
        <f>"6"</f>
        <v>6</v>
      </c>
      <c r="I199" s="4">
        <v>297.5</v>
      </c>
      <c r="J199" s="2">
        <v>45839</v>
      </c>
      <c r="K199" s="1" t="s">
        <v>536</v>
      </c>
    </row>
    <row r="200" spans="1:11" x14ac:dyDescent="0.35">
      <c r="A200" s="3" t="s">
        <v>93</v>
      </c>
      <c r="B200" s="1" t="s">
        <v>450</v>
      </c>
      <c r="C200" s="1" t="s">
        <v>537</v>
      </c>
      <c r="D200" s="1" t="str">
        <f>"6230"</f>
        <v>6230</v>
      </c>
      <c r="E200" s="1" t="str">
        <f>"015711331"</f>
        <v>015711331</v>
      </c>
      <c r="F200" s="1" t="s">
        <v>538</v>
      </c>
      <c r="G200" s="3" t="s">
        <v>15</v>
      </c>
      <c r="H200" s="3" t="str">
        <f>"17"</f>
        <v>17</v>
      </c>
      <c r="I200" s="4">
        <v>114.39</v>
      </c>
      <c r="J200" s="2">
        <v>45839</v>
      </c>
      <c r="K200" s="1" t="s">
        <v>539</v>
      </c>
    </row>
    <row r="201" spans="1:11" x14ac:dyDescent="0.35">
      <c r="A201" s="3" t="s">
        <v>93</v>
      </c>
      <c r="B201" s="1" t="s">
        <v>450</v>
      </c>
      <c r="C201" s="1" t="s">
        <v>540</v>
      </c>
      <c r="D201" s="1" t="str">
        <f>"6532"</f>
        <v>6532</v>
      </c>
      <c r="E201" s="1" t="s">
        <v>541</v>
      </c>
      <c r="F201" s="1" t="s">
        <v>542</v>
      </c>
      <c r="G201" s="3" t="s">
        <v>15</v>
      </c>
      <c r="H201" s="3" t="str">
        <f>"211"</f>
        <v>211</v>
      </c>
      <c r="I201" s="4" t="str">
        <f>"25"</f>
        <v>25</v>
      </c>
      <c r="J201" s="2">
        <v>45839</v>
      </c>
      <c r="K201" s="1" t="s">
        <v>543</v>
      </c>
    </row>
    <row r="202" spans="1:11" x14ac:dyDescent="0.35">
      <c r="A202" s="3" t="s">
        <v>601</v>
      </c>
      <c r="B202" s="1" t="s">
        <v>683</v>
      </c>
      <c r="C202" s="1" t="s">
        <v>687</v>
      </c>
      <c r="D202" s="1" t="str">
        <f>"7830"</f>
        <v>7830</v>
      </c>
      <c r="E202" s="1" t="s">
        <v>89</v>
      </c>
      <c r="F202" s="1" t="s">
        <v>90</v>
      </c>
      <c r="G202" s="3" t="s">
        <v>15</v>
      </c>
      <c r="H202" s="3" t="str">
        <f>"3"</f>
        <v>3</v>
      </c>
      <c r="I202" s="4">
        <v>1103.21</v>
      </c>
      <c r="J202" s="2">
        <v>45923</v>
      </c>
      <c r="K202" s="1" t="s">
        <v>688</v>
      </c>
    </row>
    <row r="203" spans="1:11" x14ac:dyDescent="0.35">
      <c r="A203" s="3" t="s">
        <v>601</v>
      </c>
      <c r="B203" s="1" t="s">
        <v>683</v>
      </c>
      <c r="C203" s="1" t="s">
        <v>684</v>
      </c>
      <c r="D203" s="1" t="str">
        <f>"4910"</f>
        <v>4910</v>
      </c>
      <c r="E203" s="1" t="str">
        <f>"014211050"</f>
        <v>014211050</v>
      </c>
      <c r="F203" s="1" t="s">
        <v>685</v>
      </c>
      <c r="G203" s="3" t="s">
        <v>58</v>
      </c>
      <c r="H203" s="3" t="str">
        <f>"2"</f>
        <v>2</v>
      </c>
      <c r="I203" s="4" t="str">
        <f>"5000"</f>
        <v>5000</v>
      </c>
      <c r="J203" s="2">
        <v>45918</v>
      </c>
      <c r="K203" s="1" t="s">
        <v>686</v>
      </c>
    </row>
    <row r="204" spans="1:11" x14ac:dyDescent="0.35">
      <c r="A204" s="3" t="s">
        <v>601</v>
      </c>
      <c r="B204" s="1" t="s">
        <v>683</v>
      </c>
      <c r="C204" s="1" t="s">
        <v>689</v>
      </c>
      <c r="D204" s="1" t="str">
        <f>"7910"</f>
        <v>7910</v>
      </c>
      <c r="E204" s="1" t="s">
        <v>316</v>
      </c>
      <c r="F204" s="1" t="s">
        <v>317</v>
      </c>
      <c r="G204" s="3" t="s">
        <v>15</v>
      </c>
      <c r="H204" s="3" t="str">
        <f>"1"</f>
        <v>1</v>
      </c>
      <c r="I204" s="4" t="str">
        <f>"4885"</f>
        <v>4885</v>
      </c>
      <c r="J204" s="2">
        <v>45918</v>
      </c>
      <c r="K204" s="1" t="s">
        <v>690</v>
      </c>
    </row>
    <row r="205" spans="1:11" x14ac:dyDescent="0.35">
      <c r="A205" s="3" t="s">
        <v>601</v>
      </c>
      <c r="B205" s="1" t="s">
        <v>602</v>
      </c>
      <c r="C205" s="1" t="s">
        <v>603</v>
      </c>
      <c r="D205" s="1" t="str">
        <f>"2320"</f>
        <v>2320</v>
      </c>
      <c r="E205" s="1" t="str">
        <f>"015402017"</f>
        <v>015402017</v>
      </c>
      <c r="F205" s="1" t="s">
        <v>604</v>
      </c>
      <c r="G205" s="3" t="s">
        <v>15</v>
      </c>
      <c r="H205" s="3" t="str">
        <f>"1"</f>
        <v>1</v>
      </c>
      <c r="I205" s="4" t="str">
        <f>"204469"</f>
        <v>204469</v>
      </c>
      <c r="J205" s="2">
        <v>45917</v>
      </c>
      <c r="K205" s="1" t="s">
        <v>605</v>
      </c>
    </row>
    <row r="206" spans="1:11" x14ac:dyDescent="0.35">
      <c r="A206" s="3" t="s">
        <v>601</v>
      </c>
      <c r="B206" s="1" t="s">
        <v>602</v>
      </c>
      <c r="C206" s="1" t="s">
        <v>606</v>
      </c>
      <c r="D206" s="1" t="str">
        <f>"2320"</f>
        <v>2320</v>
      </c>
      <c r="E206" s="1" t="str">
        <f>"014846745"</f>
        <v>014846745</v>
      </c>
      <c r="F206" s="1" t="s">
        <v>373</v>
      </c>
      <c r="G206" s="3" t="s">
        <v>15</v>
      </c>
      <c r="H206" s="3" t="str">
        <f>"1"</f>
        <v>1</v>
      </c>
      <c r="I206" s="4" t="str">
        <f>"24017"</f>
        <v>24017</v>
      </c>
      <c r="J206" s="2">
        <v>45915</v>
      </c>
      <c r="K206" s="1" t="s">
        <v>607</v>
      </c>
    </row>
    <row r="207" spans="1:11" x14ac:dyDescent="0.35">
      <c r="A207" s="3" t="s">
        <v>601</v>
      </c>
      <c r="B207" s="1" t="s">
        <v>602</v>
      </c>
      <c r="C207" s="1" t="s">
        <v>608</v>
      </c>
      <c r="D207" s="1" t="str">
        <f>"2320"</f>
        <v>2320</v>
      </c>
      <c r="E207" s="1" t="str">
        <f>"014846745"</f>
        <v>014846745</v>
      </c>
      <c r="F207" s="1" t="s">
        <v>373</v>
      </c>
      <c r="G207" s="3" t="s">
        <v>15</v>
      </c>
      <c r="H207" s="3" t="str">
        <f>"1"</f>
        <v>1</v>
      </c>
      <c r="I207" s="4" t="str">
        <f>"24017"</f>
        <v>24017</v>
      </c>
      <c r="J207" s="2">
        <v>45915</v>
      </c>
      <c r="K207" s="1" t="s">
        <v>607</v>
      </c>
    </row>
    <row r="208" spans="1:11" x14ac:dyDescent="0.35">
      <c r="A208" s="3" t="s">
        <v>601</v>
      </c>
      <c r="B208" s="1" t="s">
        <v>602</v>
      </c>
      <c r="C208" s="1" t="s">
        <v>632</v>
      </c>
      <c r="D208" s="1" t="str">
        <f>"5180"</f>
        <v>5180</v>
      </c>
      <c r="E208" s="1" t="str">
        <f>"015637474"</f>
        <v>015637474</v>
      </c>
      <c r="F208" s="1" t="s">
        <v>633</v>
      </c>
      <c r="G208" s="3" t="s">
        <v>15</v>
      </c>
      <c r="H208" s="3" t="str">
        <f>"1"</f>
        <v>1</v>
      </c>
      <c r="I208" s="4" t="str">
        <f>"133488"</f>
        <v>133488</v>
      </c>
      <c r="J208" s="2">
        <v>45915</v>
      </c>
      <c r="K208" s="1" t="s">
        <v>631</v>
      </c>
    </row>
    <row r="209" spans="1:11" x14ac:dyDescent="0.35">
      <c r="A209" s="3" t="s">
        <v>601</v>
      </c>
      <c r="B209" s="1" t="s">
        <v>602</v>
      </c>
      <c r="C209" s="1" t="s">
        <v>613</v>
      </c>
      <c r="D209" s="1" t="str">
        <f>"2330"</f>
        <v>2330</v>
      </c>
      <c r="E209" s="1" t="s">
        <v>70</v>
      </c>
      <c r="F209" s="1" t="s">
        <v>71</v>
      </c>
      <c r="G209" s="3" t="s">
        <v>15</v>
      </c>
      <c r="H209" s="3" t="str">
        <f>"1"</f>
        <v>1</v>
      </c>
      <c r="I209" s="4" t="str">
        <f>"14555"</f>
        <v>14555</v>
      </c>
      <c r="J209" s="2">
        <v>45910</v>
      </c>
      <c r="K209" s="1" t="s">
        <v>614</v>
      </c>
    </row>
    <row r="210" spans="1:11" x14ac:dyDescent="0.35">
      <c r="A210" s="3" t="s">
        <v>601</v>
      </c>
      <c r="B210" s="1" t="s">
        <v>602</v>
      </c>
      <c r="C210" s="1" t="s">
        <v>615</v>
      </c>
      <c r="D210" s="1" t="str">
        <f>"2330"</f>
        <v>2330</v>
      </c>
      <c r="E210" s="1" t="s">
        <v>70</v>
      </c>
      <c r="F210" s="1" t="s">
        <v>71</v>
      </c>
      <c r="G210" s="3" t="s">
        <v>15</v>
      </c>
      <c r="H210" s="3" t="str">
        <f>"1"</f>
        <v>1</v>
      </c>
      <c r="I210" s="4" t="str">
        <f>"14555"</f>
        <v>14555</v>
      </c>
      <c r="J210" s="2">
        <v>45910</v>
      </c>
      <c r="K210" s="1" t="s">
        <v>614</v>
      </c>
    </row>
    <row r="211" spans="1:11" x14ac:dyDescent="0.35">
      <c r="A211" s="3" t="s">
        <v>601</v>
      </c>
      <c r="B211" s="1" t="s">
        <v>602</v>
      </c>
      <c r="C211" s="1" t="s">
        <v>620</v>
      </c>
      <c r="D211" s="1" t="str">
        <f>"2330"</f>
        <v>2330</v>
      </c>
      <c r="E211" s="1" t="s">
        <v>70</v>
      </c>
      <c r="F211" s="1" t="s">
        <v>71</v>
      </c>
      <c r="G211" s="3" t="s">
        <v>15</v>
      </c>
      <c r="H211" s="3" t="str">
        <f>"1"</f>
        <v>1</v>
      </c>
      <c r="I211" s="4" t="str">
        <f>"14555"</f>
        <v>14555</v>
      </c>
      <c r="J211" s="2">
        <v>45910</v>
      </c>
      <c r="K211" s="1" t="s">
        <v>621</v>
      </c>
    </row>
    <row r="212" spans="1:11" x14ac:dyDescent="0.35">
      <c r="A212" s="3" t="s">
        <v>601</v>
      </c>
      <c r="B212" s="1" t="s">
        <v>667</v>
      </c>
      <c r="C212" s="1" t="s">
        <v>675</v>
      </c>
      <c r="D212" s="1" t="str">
        <f>"6760"</f>
        <v>6760</v>
      </c>
      <c r="E212" s="1" t="s">
        <v>676</v>
      </c>
      <c r="F212" s="1" t="s">
        <v>677</v>
      </c>
      <c r="G212" s="3" t="s">
        <v>15</v>
      </c>
      <c r="H212" s="3" t="str">
        <f>"2"</f>
        <v>2</v>
      </c>
      <c r="I212" s="4">
        <v>874.95</v>
      </c>
      <c r="J212" s="2">
        <v>45909</v>
      </c>
      <c r="K212" s="1" t="s">
        <v>678</v>
      </c>
    </row>
    <row r="213" spans="1:11" x14ac:dyDescent="0.35">
      <c r="A213" s="3" t="s">
        <v>601</v>
      </c>
      <c r="B213" s="1" t="s">
        <v>602</v>
      </c>
      <c r="C213" s="1" t="s">
        <v>612</v>
      </c>
      <c r="D213" s="1" t="str">
        <f>"2320"</f>
        <v>2320</v>
      </c>
      <c r="E213" s="1" t="str">
        <f>"014476343"</f>
        <v>014476343</v>
      </c>
      <c r="F213" s="1" t="s">
        <v>373</v>
      </c>
      <c r="G213" s="3" t="s">
        <v>15</v>
      </c>
      <c r="H213" s="3" t="str">
        <f>"1"</f>
        <v>1</v>
      </c>
      <c r="I213" s="4" t="str">
        <f>"176428"</f>
        <v>176428</v>
      </c>
      <c r="J213" s="2">
        <v>45904</v>
      </c>
      <c r="K213" s="1" t="s">
        <v>610</v>
      </c>
    </row>
    <row r="214" spans="1:11" x14ac:dyDescent="0.35">
      <c r="A214" s="3" t="s">
        <v>601</v>
      </c>
      <c r="B214" s="1" t="s">
        <v>602</v>
      </c>
      <c r="C214" s="1" t="s">
        <v>616</v>
      </c>
      <c r="D214" s="1" t="str">
        <f>"2330"</f>
        <v>2330</v>
      </c>
      <c r="E214" s="1" t="str">
        <f>"015183809"</f>
        <v>015183809</v>
      </c>
      <c r="F214" s="1" t="s">
        <v>617</v>
      </c>
      <c r="G214" s="3" t="s">
        <v>15</v>
      </c>
      <c r="H214" s="3" t="str">
        <f>"1"</f>
        <v>1</v>
      </c>
      <c r="I214" s="4" t="str">
        <f>"20000"</f>
        <v>20000</v>
      </c>
      <c r="J214" s="2">
        <v>45895</v>
      </c>
      <c r="K214" s="1" t="s">
        <v>618</v>
      </c>
    </row>
    <row r="215" spans="1:11" x14ac:dyDescent="0.35">
      <c r="A215" s="3" t="s">
        <v>601</v>
      </c>
      <c r="B215" s="1" t="s">
        <v>602</v>
      </c>
      <c r="C215" s="1" t="s">
        <v>619</v>
      </c>
      <c r="D215" s="1" t="str">
        <f>"2330"</f>
        <v>2330</v>
      </c>
      <c r="E215" s="1" t="str">
        <f>"015183809"</f>
        <v>015183809</v>
      </c>
      <c r="F215" s="1" t="s">
        <v>617</v>
      </c>
      <c r="G215" s="3" t="s">
        <v>15</v>
      </c>
      <c r="H215" s="3" t="str">
        <f>"1"</f>
        <v>1</v>
      </c>
      <c r="I215" s="4" t="str">
        <f>"20000"</f>
        <v>20000</v>
      </c>
      <c r="J215" s="2">
        <v>45895</v>
      </c>
      <c r="K215" s="1" t="s">
        <v>618</v>
      </c>
    </row>
    <row r="216" spans="1:11" x14ac:dyDescent="0.35">
      <c r="A216" s="3" t="s">
        <v>601</v>
      </c>
      <c r="B216" s="1" t="s">
        <v>602</v>
      </c>
      <c r="C216" s="1" t="s">
        <v>640</v>
      </c>
      <c r="D216" s="1" t="str">
        <f>"8465"</f>
        <v>8465</v>
      </c>
      <c r="E216" s="1" t="str">
        <f>"016007830"</f>
        <v>016007830</v>
      </c>
      <c r="F216" s="1" t="s">
        <v>303</v>
      </c>
      <c r="G216" s="3" t="s">
        <v>15</v>
      </c>
      <c r="H216" s="3" t="str">
        <f>"120"</f>
        <v>120</v>
      </c>
      <c r="I216" s="4">
        <v>128.33000000000001</v>
      </c>
      <c r="J216" s="2">
        <v>45895</v>
      </c>
      <c r="K216" s="1" t="s">
        <v>638</v>
      </c>
    </row>
    <row r="217" spans="1:11" x14ac:dyDescent="0.35">
      <c r="A217" s="3" t="s">
        <v>601</v>
      </c>
      <c r="B217" s="1" t="s">
        <v>602</v>
      </c>
      <c r="C217" s="1" t="s">
        <v>622</v>
      </c>
      <c r="D217" s="1" t="str">
        <f>"2340"</f>
        <v>2340</v>
      </c>
      <c r="E217" s="1" t="str">
        <f>"015066222"</f>
        <v>015066222</v>
      </c>
      <c r="F217" s="1" t="s">
        <v>623</v>
      </c>
      <c r="G217" s="3" t="s">
        <v>15</v>
      </c>
      <c r="H217" s="3" t="str">
        <f>"1"</f>
        <v>1</v>
      </c>
      <c r="I217" s="4" t="str">
        <f>"16104"</f>
        <v>16104</v>
      </c>
      <c r="J217" s="2">
        <v>45891</v>
      </c>
      <c r="K217" s="1" t="s">
        <v>624</v>
      </c>
    </row>
    <row r="218" spans="1:11" x14ac:dyDescent="0.35">
      <c r="A218" s="3" t="s">
        <v>601</v>
      </c>
      <c r="B218" s="1" t="s">
        <v>602</v>
      </c>
      <c r="C218" s="1" t="s">
        <v>625</v>
      </c>
      <c r="D218" s="1" t="str">
        <f>"2340"</f>
        <v>2340</v>
      </c>
      <c r="E218" s="1" t="str">
        <f>"015066222"</f>
        <v>015066222</v>
      </c>
      <c r="F218" s="1" t="s">
        <v>623</v>
      </c>
      <c r="G218" s="3" t="s">
        <v>15</v>
      </c>
      <c r="H218" s="3" t="str">
        <f>"1"</f>
        <v>1</v>
      </c>
      <c r="I218" s="4" t="str">
        <f>"16104"</f>
        <v>16104</v>
      </c>
      <c r="J218" s="2">
        <v>45891</v>
      </c>
      <c r="K218" s="1" t="s">
        <v>624</v>
      </c>
    </row>
    <row r="219" spans="1:11" x14ac:dyDescent="0.35">
      <c r="A219" s="3" t="s">
        <v>601</v>
      </c>
      <c r="B219" s="1" t="s">
        <v>602</v>
      </c>
      <c r="C219" s="1" t="s">
        <v>609</v>
      </c>
      <c r="D219" s="1" t="str">
        <f>"2320"</f>
        <v>2320</v>
      </c>
      <c r="E219" s="1" t="s">
        <v>274</v>
      </c>
      <c r="F219" s="1" t="s">
        <v>275</v>
      </c>
      <c r="G219" s="3" t="s">
        <v>15</v>
      </c>
      <c r="H219" s="3" t="str">
        <f>"1"</f>
        <v>1</v>
      </c>
      <c r="I219" s="4" t="str">
        <f>"4500"</f>
        <v>4500</v>
      </c>
      <c r="J219" s="2">
        <v>45889</v>
      </c>
      <c r="K219" s="1" t="s">
        <v>610</v>
      </c>
    </row>
    <row r="220" spans="1:11" x14ac:dyDescent="0.35">
      <c r="A220" s="3" t="s">
        <v>601</v>
      </c>
      <c r="B220" s="1" t="s">
        <v>602</v>
      </c>
      <c r="C220" s="1" t="s">
        <v>611</v>
      </c>
      <c r="D220" s="1" t="str">
        <f>"2320"</f>
        <v>2320</v>
      </c>
      <c r="E220" s="1" t="s">
        <v>274</v>
      </c>
      <c r="F220" s="1" t="s">
        <v>275</v>
      </c>
      <c r="G220" s="3" t="s">
        <v>15</v>
      </c>
      <c r="H220" s="3" t="str">
        <f>"1"</f>
        <v>1</v>
      </c>
      <c r="I220" s="4" t="str">
        <f>"4500"</f>
        <v>4500</v>
      </c>
      <c r="J220" s="2">
        <v>45889</v>
      </c>
      <c r="K220" s="1" t="s">
        <v>610</v>
      </c>
    </row>
    <row r="221" spans="1:11" x14ac:dyDescent="0.35">
      <c r="A221" s="3" t="s">
        <v>601</v>
      </c>
      <c r="B221" s="1" t="s">
        <v>602</v>
      </c>
      <c r="C221" s="1" t="s">
        <v>626</v>
      </c>
      <c r="D221" s="1" t="str">
        <f>"3930"</f>
        <v>3930</v>
      </c>
      <c r="E221" s="1" t="s">
        <v>150</v>
      </c>
      <c r="F221" s="1" t="s">
        <v>151</v>
      </c>
      <c r="G221" s="3" t="s">
        <v>15</v>
      </c>
      <c r="H221" s="3" t="str">
        <f>"1"</f>
        <v>1</v>
      </c>
      <c r="I221" s="4" t="str">
        <f>"5000"</f>
        <v>5000</v>
      </c>
      <c r="J221" s="2">
        <v>45889</v>
      </c>
      <c r="K221" s="1" t="s">
        <v>627</v>
      </c>
    </row>
    <row r="222" spans="1:11" x14ac:dyDescent="0.35">
      <c r="A222" s="3" t="s">
        <v>601</v>
      </c>
      <c r="B222" s="1" t="s">
        <v>602</v>
      </c>
      <c r="C222" s="1" t="s">
        <v>628</v>
      </c>
      <c r="D222" s="1" t="str">
        <f>"5140"</f>
        <v>5140</v>
      </c>
      <c r="E222" s="1" t="s">
        <v>161</v>
      </c>
      <c r="F222" s="1" t="s">
        <v>162</v>
      </c>
      <c r="G222" s="3" t="s">
        <v>15</v>
      </c>
      <c r="H222" s="3" t="str">
        <f>"7"</f>
        <v>7</v>
      </c>
      <c r="I222" s="4" t="str">
        <f>"12250"</f>
        <v>12250</v>
      </c>
      <c r="J222" s="2">
        <v>45889</v>
      </c>
      <c r="K222" s="1" t="s">
        <v>629</v>
      </c>
    </row>
    <row r="223" spans="1:11" x14ac:dyDescent="0.35">
      <c r="A223" s="3" t="s">
        <v>601</v>
      </c>
      <c r="B223" s="1" t="s">
        <v>602</v>
      </c>
      <c r="C223" s="1" t="s">
        <v>630</v>
      </c>
      <c r="D223" s="1" t="str">
        <f>"5140"</f>
        <v>5140</v>
      </c>
      <c r="E223" s="1" t="s">
        <v>161</v>
      </c>
      <c r="F223" s="1" t="s">
        <v>162</v>
      </c>
      <c r="G223" s="3" t="s">
        <v>15</v>
      </c>
      <c r="H223" s="3" t="str">
        <f>"1"</f>
        <v>1</v>
      </c>
      <c r="I223" s="4" t="str">
        <f>"12250"</f>
        <v>12250</v>
      </c>
      <c r="J223" s="2">
        <v>45889</v>
      </c>
      <c r="K223" s="1" t="s">
        <v>631</v>
      </c>
    </row>
    <row r="224" spans="1:11" x14ac:dyDescent="0.35">
      <c r="A224" s="3" t="s">
        <v>601</v>
      </c>
      <c r="B224" s="1" t="s">
        <v>602</v>
      </c>
      <c r="C224" s="1" t="s">
        <v>636</v>
      </c>
      <c r="D224" s="1" t="str">
        <f>"8465"</f>
        <v>8465</v>
      </c>
      <c r="E224" s="1" t="str">
        <f>"016416353"</f>
        <v>016416353</v>
      </c>
      <c r="F224" s="1" t="s">
        <v>637</v>
      </c>
      <c r="G224" s="3" t="s">
        <v>58</v>
      </c>
      <c r="H224" s="3" t="str">
        <f>"3"</f>
        <v>3</v>
      </c>
      <c r="I224" s="4">
        <v>234.01</v>
      </c>
      <c r="J224" s="2">
        <v>45889</v>
      </c>
      <c r="K224" s="1" t="s">
        <v>638</v>
      </c>
    </row>
    <row r="225" spans="1:11" x14ac:dyDescent="0.35">
      <c r="A225" s="3" t="s">
        <v>601</v>
      </c>
      <c r="B225" s="1" t="s">
        <v>602</v>
      </c>
      <c r="C225" s="1" t="s">
        <v>639</v>
      </c>
      <c r="D225" s="1" t="str">
        <f>"8465"</f>
        <v>8465</v>
      </c>
      <c r="E225" s="1" t="str">
        <f>"016416353"</f>
        <v>016416353</v>
      </c>
      <c r="F225" s="1" t="s">
        <v>637</v>
      </c>
      <c r="G225" s="3" t="s">
        <v>58</v>
      </c>
      <c r="H225" s="3" t="str">
        <f>"5"</f>
        <v>5</v>
      </c>
      <c r="I225" s="4">
        <v>234.01</v>
      </c>
      <c r="J225" s="2">
        <v>45889</v>
      </c>
      <c r="K225" s="1" t="s">
        <v>638</v>
      </c>
    </row>
    <row r="226" spans="1:11" x14ac:dyDescent="0.35">
      <c r="A226" s="3" t="s">
        <v>601</v>
      </c>
      <c r="B226" s="1" t="s">
        <v>667</v>
      </c>
      <c r="C226" s="1" t="s">
        <v>679</v>
      </c>
      <c r="D226" s="1" t="str">
        <f>"6760"</f>
        <v>6760</v>
      </c>
      <c r="E226" s="1" t="s">
        <v>680</v>
      </c>
      <c r="F226" s="1" t="s">
        <v>681</v>
      </c>
      <c r="G226" s="3" t="s">
        <v>15</v>
      </c>
      <c r="H226" s="3" t="str">
        <f>"3"</f>
        <v>3</v>
      </c>
      <c r="I226" s="4" t="str">
        <f>"100"</f>
        <v>100</v>
      </c>
      <c r="J226" s="2">
        <v>45889</v>
      </c>
      <c r="K226" s="1" t="s">
        <v>682</v>
      </c>
    </row>
    <row r="227" spans="1:11" x14ac:dyDescent="0.35">
      <c r="A227" s="3" t="s">
        <v>601</v>
      </c>
      <c r="B227" s="1" t="s">
        <v>667</v>
      </c>
      <c r="C227" s="1" t="s">
        <v>668</v>
      </c>
      <c r="D227" s="1" t="str">
        <f>"6720"</f>
        <v>6720</v>
      </c>
      <c r="E227" s="1" t="s">
        <v>443</v>
      </c>
      <c r="F227" s="1" t="s">
        <v>444</v>
      </c>
      <c r="G227" s="3" t="s">
        <v>15</v>
      </c>
      <c r="H227" s="3" t="str">
        <f>"4"</f>
        <v>4</v>
      </c>
      <c r="I227" s="4" t="str">
        <f>"500"</f>
        <v>500</v>
      </c>
      <c r="J227" s="2">
        <v>45883</v>
      </c>
      <c r="K227" s="1" t="s">
        <v>669</v>
      </c>
    </row>
    <row r="228" spans="1:11" x14ac:dyDescent="0.35">
      <c r="A228" s="3" t="s">
        <v>601</v>
      </c>
      <c r="B228" s="1" t="s">
        <v>667</v>
      </c>
      <c r="C228" s="1" t="s">
        <v>670</v>
      </c>
      <c r="D228" s="1" t="str">
        <f>"6760"</f>
        <v>6760</v>
      </c>
      <c r="E228" s="1" t="s">
        <v>671</v>
      </c>
      <c r="F228" s="1" t="s">
        <v>672</v>
      </c>
      <c r="G228" s="3" t="s">
        <v>15</v>
      </c>
      <c r="H228" s="3" t="str">
        <f>"3"</f>
        <v>3</v>
      </c>
      <c r="I228" s="4" t="str">
        <f>"400"</f>
        <v>400</v>
      </c>
      <c r="J228" s="2">
        <v>45882</v>
      </c>
      <c r="K228" s="1" t="s">
        <v>673</v>
      </c>
    </row>
    <row r="229" spans="1:11" x14ac:dyDescent="0.35">
      <c r="A229" s="3" t="s">
        <v>601</v>
      </c>
      <c r="B229" s="1" t="s">
        <v>667</v>
      </c>
      <c r="C229" s="1" t="s">
        <v>674</v>
      </c>
      <c r="D229" s="1" t="str">
        <f>"6760"</f>
        <v>6760</v>
      </c>
      <c r="E229" s="1" t="s">
        <v>671</v>
      </c>
      <c r="F229" s="1" t="s">
        <v>672</v>
      </c>
      <c r="G229" s="3" t="s">
        <v>15</v>
      </c>
      <c r="H229" s="3" t="str">
        <f>"2"</f>
        <v>2</v>
      </c>
      <c r="I229" s="4" t="str">
        <f>"500"</f>
        <v>500</v>
      </c>
      <c r="J229" s="2">
        <v>45882</v>
      </c>
      <c r="K229" s="1" t="s">
        <v>673</v>
      </c>
    </row>
    <row r="230" spans="1:11" x14ac:dyDescent="0.35">
      <c r="A230" s="3" t="s">
        <v>601</v>
      </c>
      <c r="B230" s="1" t="s">
        <v>645</v>
      </c>
      <c r="C230" s="1" t="s">
        <v>650</v>
      </c>
      <c r="D230" s="1" t="str">
        <f>"5840"</f>
        <v>5840</v>
      </c>
      <c r="E230" s="1" t="str">
        <f>"015172918"</f>
        <v>015172918</v>
      </c>
      <c r="F230" s="1" t="s">
        <v>651</v>
      </c>
      <c r="G230" s="3" t="s">
        <v>15</v>
      </c>
      <c r="H230" s="3" t="str">
        <f>"1"</f>
        <v>1</v>
      </c>
      <c r="I230" s="4">
        <v>1040.04</v>
      </c>
      <c r="J230" s="2">
        <v>45875</v>
      </c>
      <c r="K230" s="1" t="s">
        <v>652</v>
      </c>
    </row>
    <row r="231" spans="1:11" x14ac:dyDescent="0.35">
      <c r="A231" s="3" t="s">
        <v>601</v>
      </c>
      <c r="B231" s="1" t="s">
        <v>645</v>
      </c>
      <c r="C231" s="1" t="s">
        <v>653</v>
      </c>
      <c r="D231" s="1" t="str">
        <f>"5840"</f>
        <v>5840</v>
      </c>
      <c r="E231" s="1" t="str">
        <f>"015172918"</f>
        <v>015172918</v>
      </c>
      <c r="F231" s="1" t="s">
        <v>651</v>
      </c>
      <c r="G231" s="3" t="s">
        <v>15</v>
      </c>
      <c r="H231" s="3" t="str">
        <f>"1"</f>
        <v>1</v>
      </c>
      <c r="I231" s="4">
        <v>1040.04</v>
      </c>
      <c r="J231" s="2">
        <v>45875</v>
      </c>
      <c r="K231" s="1" t="s">
        <v>652</v>
      </c>
    </row>
    <row r="232" spans="1:11" x14ac:dyDescent="0.35">
      <c r="A232" s="3" t="s">
        <v>601</v>
      </c>
      <c r="B232" s="1" t="s">
        <v>645</v>
      </c>
      <c r="C232" s="1" t="s">
        <v>654</v>
      </c>
      <c r="D232" s="1" t="str">
        <f>"5840"</f>
        <v>5840</v>
      </c>
      <c r="E232" s="1" t="str">
        <f>"015172918"</f>
        <v>015172918</v>
      </c>
      <c r="F232" s="1" t="s">
        <v>651</v>
      </c>
      <c r="G232" s="3" t="s">
        <v>15</v>
      </c>
      <c r="H232" s="3" t="str">
        <f>"1"</f>
        <v>1</v>
      </c>
      <c r="I232" s="4">
        <v>1040.04</v>
      </c>
      <c r="J232" s="2">
        <v>45875</v>
      </c>
      <c r="K232" s="1" t="s">
        <v>652</v>
      </c>
    </row>
    <row r="233" spans="1:11" x14ac:dyDescent="0.35">
      <c r="A233" s="3" t="s">
        <v>601</v>
      </c>
      <c r="B233" s="1" t="s">
        <v>645</v>
      </c>
      <c r="C233" s="1" t="s">
        <v>655</v>
      </c>
      <c r="D233" s="1" t="str">
        <f>"5840"</f>
        <v>5840</v>
      </c>
      <c r="E233" s="1" t="str">
        <f>"015172918"</f>
        <v>015172918</v>
      </c>
      <c r="F233" s="1" t="s">
        <v>651</v>
      </c>
      <c r="G233" s="3" t="s">
        <v>15</v>
      </c>
      <c r="H233" s="3" t="str">
        <f>"1"</f>
        <v>1</v>
      </c>
      <c r="I233" s="4">
        <v>1040.04</v>
      </c>
      <c r="J233" s="2">
        <v>45875</v>
      </c>
      <c r="K233" s="1" t="s">
        <v>652</v>
      </c>
    </row>
    <row r="234" spans="1:11" x14ac:dyDescent="0.35">
      <c r="A234" s="3" t="s">
        <v>601</v>
      </c>
      <c r="B234" s="1" t="s">
        <v>641</v>
      </c>
      <c r="C234" s="1" t="s">
        <v>642</v>
      </c>
      <c r="D234" s="1" t="str">
        <f>"5830"</f>
        <v>5830</v>
      </c>
      <c r="E234" s="1" t="str">
        <f>"015812404"</f>
        <v>015812404</v>
      </c>
      <c r="F234" s="1" t="s">
        <v>643</v>
      </c>
      <c r="G234" s="3" t="s">
        <v>15</v>
      </c>
      <c r="H234" s="3" t="str">
        <f>"1"</f>
        <v>1</v>
      </c>
      <c r="I234" s="4">
        <v>34162.629999999997</v>
      </c>
      <c r="J234" s="2">
        <v>45874</v>
      </c>
      <c r="K234" s="1" t="s">
        <v>644</v>
      </c>
    </row>
    <row r="235" spans="1:11" x14ac:dyDescent="0.35">
      <c r="A235" s="3" t="s">
        <v>601</v>
      </c>
      <c r="B235" s="1" t="s">
        <v>664</v>
      </c>
      <c r="C235" s="1" t="s">
        <v>665</v>
      </c>
      <c r="D235" s="1" t="str">
        <f>"6210"</f>
        <v>6210</v>
      </c>
      <c r="E235" s="1" t="s">
        <v>400</v>
      </c>
      <c r="F235" s="1" t="s">
        <v>401</v>
      </c>
      <c r="G235" s="3" t="s">
        <v>15</v>
      </c>
      <c r="H235" s="3" t="str">
        <f>"1"</f>
        <v>1</v>
      </c>
      <c r="I235" s="4" t="str">
        <f>"2500"</f>
        <v>2500</v>
      </c>
      <c r="J235" s="2">
        <v>45873</v>
      </c>
      <c r="K235" s="1" t="s">
        <v>666</v>
      </c>
    </row>
    <row r="236" spans="1:11" x14ac:dyDescent="0.35">
      <c r="A236" s="3" t="s">
        <v>601</v>
      </c>
      <c r="B236" s="1" t="s">
        <v>645</v>
      </c>
      <c r="C236" s="1" t="s">
        <v>646</v>
      </c>
      <c r="D236" s="1" t="str">
        <f>"2340"</f>
        <v>2340</v>
      </c>
      <c r="E236" s="1" t="s">
        <v>647</v>
      </c>
      <c r="F236" s="1" t="s">
        <v>648</v>
      </c>
      <c r="G236" s="3" t="s">
        <v>15</v>
      </c>
      <c r="H236" s="3" t="str">
        <f>"1"</f>
        <v>1</v>
      </c>
      <c r="I236" s="4" t="str">
        <f>"6000"</f>
        <v>6000</v>
      </c>
      <c r="J236" s="2">
        <v>45861</v>
      </c>
      <c r="K236" s="1" t="s">
        <v>649</v>
      </c>
    </row>
    <row r="237" spans="1:11" x14ac:dyDescent="0.35">
      <c r="A237" s="3" t="s">
        <v>601</v>
      </c>
      <c r="B237" s="1" t="s">
        <v>645</v>
      </c>
      <c r="C237" s="1" t="s">
        <v>656</v>
      </c>
      <c r="D237" s="1" t="str">
        <f>"6260"</f>
        <v>6260</v>
      </c>
      <c r="E237" s="1" t="str">
        <f>"011785560"</f>
        <v>011785560</v>
      </c>
      <c r="F237" s="1" t="s">
        <v>657</v>
      </c>
      <c r="G237" s="3" t="s">
        <v>290</v>
      </c>
      <c r="H237" s="3" t="str">
        <f>"200"</f>
        <v>200</v>
      </c>
      <c r="I237" s="4" t="str">
        <f>"25"</f>
        <v>25</v>
      </c>
      <c r="J237" s="2">
        <v>45861</v>
      </c>
      <c r="K237" s="1" t="s">
        <v>658</v>
      </c>
    </row>
    <row r="238" spans="1:11" x14ac:dyDescent="0.35">
      <c r="A238" s="3" t="s">
        <v>601</v>
      </c>
      <c r="B238" s="1" t="s">
        <v>645</v>
      </c>
      <c r="C238" s="1" t="s">
        <v>659</v>
      </c>
      <c r="D238" s="1" t="str">
        <f>"8465"</f>
        <v>8465</v>
      </c>
      <c r="E238" s="1" t="str">
        <f>"005303692"</f>
        <v>005303692</v>
      </c>
      <c r="F238" s="1" t="s">
        <v>660</v>
      </c>
      <c r="G238" s="3" t="s">
        <v>15</v>
      </c>
      <c r="H238" s="3" t="str">
        <f>"35"</f>
        <v>35</v>
      </c>
      <c r="I238" s="4">
        <v>15.64</v>
      </c>
      <c r="J238" s="2">
        <v>45861</v>
      </c>
      <c r="K238" s="1" t="s">
        <v>661</v>
      </c>
    </row>
    <row r="239" spans="1:11" x14ac:dyDescent="0.35">
      <c r="A239" s="3" t="s">
        <v>601</v>
      </c>
      <c r="B239" s="1" t="s">
        <v>645</v>
      </c>
      <c r="C239" s="1" t="s">
        <v>662</v>
      </c>
      <c r="D239" s="1" t="str">
        <f>"8465"</f>
        <v>8465</v>
      </c>
      <c r="E239" s="1" t="str">
        <f>"002616909"</f>
        <v>002616909</v>
      </c>
      <c r="F239" s="1" t="s">
        <v>663</v>
      </c>
      <c r="G239" s="3" t="s">
        <v>15</v>
      </c>
      <c r="H239" s="3" t="str">
        <f>"50"</f>
        <v>50</v>
      </c>
      <c r="I239" s="4">
        <v>62.63</v>
      </c>
      <c r="J239" s="2">
        <v>45861</v>
      </c>
      <c r="K239" s="1" t="s">
        <v>661</v>
      </c>
    </row>
    <row r="240" spans="1:11" x14ac:dyDescent="0.35">
      <c r="A240" s="3" t="s">
        <v>601</v>
      </c>
      <c r="B240" s="1" t="s">
        <v>602</v>
      </c>
      <c r="C240" s="1" t="s">
        <v>634</v>
      </c>
      <c r="D240" s="1" t="str">
        <f>"8150"</f>
        <v>8150</v>
      </c>
      <c r="E240" s="1" t="str">
        <f>"014633177"</f>
        <v>014633177</v>
      </c>
      <c r="F240" s="1" t="s">
        <v>448</v>
      </c>
      <c r="G240" s="3" t="s">
        <v>15</v>
      </c>
      <c r="H240" s="3" t="str">
        <f>"1"</f>
        <v>1</v>
      </c>
      <c r="I240" s="4">
        <v>6475.97</v>
      </c>
      <c r="J240" s="2">
        <v>45846</v>
      </c>
      <c r="K240" s="1" t="s">
        <v>635</v>
      </c>
    </row>
    <row r="241" spans="1:11" x14ac:dyDescent="0.35">
      <c r="A241" s="3" t="s">
        <v>691</v>
      </c>
      <c r="B241" s="1" t="s">
        <v>731</v>
      </c>
      <c r="C241" s="1" t="s">
        <v>750</v>
      </c>
      <c r="D241" s="1" t="str">
        <f>"8145"</f>
        <v>8145</v>
      </c>
      <c r="E241" s="1" t="s">
        <v>743</v>
      </c>
      <c r="F241" s="1" t="s">
        <v>744</v>
      </c>
      <c r="G241" s="3" t="s">
        <v>15</v>
      </c>
      <c r="H241" s="3" t="str">
        <f>"7"</f>
        <v>7</v>
      </c>
      <c r="I241" s="4" t="str">
        <f>"250"</f>
        <v>250</v>
      </c>
      <c r="J241" s="2">
        <v>45925</v>
      </c>
      <c r="K241" s="1" t="s">
        <v>751</v>
      </c>
    </row>
    <row r="242" spans="1:11" x14ac:dyDescent="0.35">
      <c r="A242" s="3" t="s">
        <v>691</v>
      </c>
      <c r="B242" s="1" t="s">
        <v>731</v>
      </c>
      <c r="C242" s="1" t="s">
        <v>773</v>
      </c>
      <c r="D242" s="1" t="str">
        <f>"8415"</f>
        <v>8415</v>
      </c>
      <c r="E242" s="1" t="str">
        <f>"013950005"</f>
        <v>013950005</v>
      </c>
      <c r="F242" s="1" t="s">
        <v>768</v>
      </c>
      <c r="G242" s="3" t="s">
        <v>15</v>
      </c>
      <c r="H242" s="3" t="str">
        <f>"1"</f>
        <v>1</v>
      </c>
      <c r="I242" s="4">
        <v>191.78</v>
      </c>
      <c r="J242" s="2">
        <v>45925</v>
      </c>
      <c r="K242" s="1" t="s">
        <v>774</v>
      </c>
    </row>
    <row r="243" spans="1:11" x14ac:dyDescent="0.35">
      <c r="A243" s="3" t="s">
        <v>691</v>
      </c>
      <c r="B243" s="1" t="s">
        <v>777</v>
      </c>
      <c r="C243" s="1" t="s">
        <v>778</v>
      </c>
      <c r="D243" s="1" t="str">
        <f>"6115"</f>
        <v>6115</v>
      </c>
      <c r="E243" s="1" t="str">
        <f>"012747390"</f>
        <v>012747390</v>
      </c>
      <c r="F243" s="1" t="s">
        <v>435</v>
      </c>
      <c r="G243" s="3" t="s">
        <v>15</v>
      </c>
      <c r="H243" s="3" t="str">
        <f>"1"</f>
        <v>1</v>
      </c>
      <c r="I243" s="4" t="str">
        <f>"25073"</f>
        <v>25073</v>
      </c>
      <c r="J243" s="2">
        <v>45923</v>
      </c>
      <c r="K243" s="1" t="s">
        <v>779</v>
      </c>
    </row>
    <row r="244" spans="1:11" x14ac:dyDescent="0.35">
      <c r="A244" s="3" t="s">
        <v>691</v>
      </c>
      <c r="B244" s="1" t="s">
        <v>777</v>
      </c>
      <c r="C244" s="1" t="s">
        <v>780</v>
      </c>
      <c r="D244" s="1" t="str">
        <f>"6115"</f>
        <v>6115</v>
      </c>
      <c r="E244" s="1" t="str">
        <f>"012747390"</f>
        <v>012747390</v>
      </c>
      <c r="F244" s="1" t="s">
        <v>435</v>
      </c>
      <c r="G244" s="3" t="s">
        <v>15</v>
      </c>
      <c r="H244" s="3" t="str">
        <f>"1"</f>
        <v>1</v>
      </c>
      <c r="I244" s="4" t="str">
        <f>"25073"</f>
        <v>25073</v>
      </c>
      <c r="J244" s="2">
        <v>45923</v>
      </c>
      <c r="K244" s="1" t="s">
        <v>781</v>
      </c>
    </row>
    <row r="245" spans="1:11" x14ac:dyDescent="0.35">
      <c r="A245" s="3" t="s">
        <v>691</v>
      </c>
      <c r="B245" s="1" t="s">
        <v>731</v>
      </c>
      <c r="C245" s="1" t="s">
        <v>767</v>
      </c>
      <c r="D245" s="1" t="str">
        <f>"8415"</f>
        <v>8415</v>
      </c>
      <c r="E245" s="1" t="str">
        <f>"007822989"</f>
        <v>007822989</v>
      </c>
      <c r="F245" s="1" t="s">
        <v>768</v>
      </c>
      <c r="G245" s="3" t="s">
        <v>15</v>
      </c>
      <c r="H245" s="3" t="str">
        <f>"1"</f>
        <v>1</v>
      </c>
      <c r="I245" s="4">
        <v>23.9</v>
      </c>
      <c r="J245" s="2">
        <v>45918</v>
      </c>
      <c r="K245" s="1" t="s">
        <v>769</v>
      </c>
    </row>
    <row r="246" spans="1:11" x14ac:dyDescent="0.35">
      <c r="A246" s="3" t="s">
        <v>691</v>
      </c>
      <c r="B246" s="1" t="s">
        <v>731</v>
      </c>
      <c r="C246" s="1" t="s">
        <v>770</v>
      </c>
      <c r="D246" s="1" t="str">
        <f>"8415"</f>
        <v>8415</v>
      </c>
      <c r="E246" s="1" t="str">
        <f>"013950005"</f>
        <v>013950005</v>
      </c>
      <c r="F246" s="1" t="s">
        <v>768</v>
      </c>
      <c r="G246" s="3" t="s">
        <v>15</v>
      </c>
      <c r="H246" s="3" t="str">
        <f>"2"</f>
        <v>2</v>
      </c>
      <c r="I246" s="4">
        <v>191.78</v>
      </c>
      <c r="J246" s="2">
        <v>45918</v>
      </c>
      <c r="K246" s="1" t="s">
        <v>771</v>
      </c>
    </row>
    <row r="247" spans="1:11" x14ac:dyDescent="0.35">
      <c r="A247" s="3" t="s">
        <v>691</v>
      </c>
      <c r="B247" s="1" t="s">
        <v>731</v>
      </c>
      <c r="C247" s="1" t="s">
        <v>772</v>
      </c>
      <c r="D247" s="1" t="str">
        <f>"8415"</f>
        <v>8415</v>
      </c>
      <c r="E247" s="1" t="str">
        <f>"013950005"</f>
        <v>013950005</v>
      </c>
      <c r="F247" s="1" t="s">
        <v>768</v>
      </c>
      <c r="G247" s="3" t="s">
        <v>15</v>
      </c>
      <c r="H247" s="3" t="str">
        <f>"13"</f>
        <v>13</v>
      </c>
      <c r="I247" s="4">
        <v>191.78</v>
      </c>
      <c r="J247" s="2">
        <v>45918</v>
      </c>
      <c r="K247" s="1" t="s">
        <v>771</v>
      </c>
    </row>
    <row r="248" spans="1:11" x14ac:dyDescent="0.35">
      <c r="A248" s="3" t="s">
        <v>691</v>
      </c>
      <c r="B248" s="1" t="s">
        <v>701</v>
      </c>
      <c r="C248" s="1" t="s">
        <v>702</v>
      </c>
      <c r="D248" s="1" t="str">
        <f>"5855"</f>
        <v>5855</v>
      </c>
      <c r="E248" s="1" t="str">
        <f>"015345931"</f>
        <v>015345931</v>
      </c>
      <c r="F248" s="1" t="s">
        <v>703</v>
      </c>
      <c r="G248" s="3" t="s">
        <v>15</v>
      </c>
      <c r="H248" s="3" t="str">
        <f>"2"</f>
        <v>2</v>
      </c>
      <c r="I248" s="4" t="str">
        <f>"976"</f>
        <v>976</v>
      </c>
      <c r="J248" s="2">
        <v>45916</v>
      </c>
      <c r="K248" s="1" t="s">
        <v>704</v>
      </c>
    </row>
    <row r="249" spans="1:11" x14ac:dyDescent="0.35">
      <c r="A249" s="3" t="s">
        <v>691</v>
      </c>
      <c r="B249" s="1" t="s">
        <v>701</v>
      </c>
      <c r="C249" s="1" t="s">
        <v>706</v>
      </c>
      <c r="D249" s="1" t="str">
        <f>"5855"</f>
        <v>5855</v>
      </c>
      <c r="E249" s="1" t="str">
        <f>"015790062"</f>
        <v>015790062</v>
      </c>
      <c r="F249" s="1" t="s">
        <v>703</v>
      </c>
      <c r="G249" s="3" t="s">
        <v>15</v>
      </c>
      <c r="H249" s="3" t="str">
        <f>"15"</f>
        <v>15</v>
      </c>
      <c r="I249" s="4" t="str">
        <f>"906"</f>
        <v>906</v>
      </c>
      <c r="J249" s="2">
        <v>45916</v>
      </c>
      <c r="K249" s="1" t="s">
        <v>704</v>
      </c>
    </row>
    <row r="250" spans="1:11" x14ac:dyDescent="0.35">
      <c r="A250" s="3" t="s">
        <v>691</v>
      </c>
      <c r="B250" s="1" t="s">
        <v>782</v>
      </c>
      <c r="C250" s="1" t="s">
        <v>789</v>
      </c>
      <c r="D250" s="1" t="str">
        <f>"5180"</f>
        <v>5180</v>
      </c>
      <c r="E250" s="1" t="str">
        <f>"016067154"</f>
        <v>016067154</v>
      </c>
      <c r="F250" s="1" t="s">
        <v>18</v>
      </c>
      <c r="G250" s="3" t="s">
        <v>19</v>
      </c>
      <c r="H250" s="3" t="str">
        <f>"2"</f>
        <v>2</v>
      </c>
      <c r="I250" s="4" t="str">
        <f>"3600"</f>
        <v>3600</v>
      </c>
      <c r="J250" s="2">
        <v>45916</v>
      </c>
      <c r="K250" s="1" t="s">
        <v>790</v>
      </c>
    </row>
    <row r="251" spans="1:11" x14ac:dyDescent="0.35">
      <c r="A251" s="3" t="s">
        <v>691</v>
      </c>
      <c r="B251" s="1" t="s">
        <v>782</v>
      </c>
      <c r="C251" s="1" t="s">
        <v>783</v>
      </c>
      <c r="D251" s="1" t="str">
        <f>"2320"</f>
        <v>2320</v>
      </c>
      <c r="E251" s="1" t="str">
        <f>"011762223"</f>
        <v>011762223</v>
      </c>
      <c r="F251" s="1" t="s">
        <v>117</v>
      </c>
      <c r="G251" s="3" t="s">
        <v>15</v>
      </c>
      <c r="H251" s="3" t="str">
        <f>"1"</f>
        <v>1</v>
      </c>
      <c r="I251" s="4" t="str">
        <f>"33082"</f>
        <v>33082</v>
      </c>
      <c r="J251" s="2">
        <v>45915</v>
      </c>
      <c r="K251" s="1" t="s">
        <v>784</v>
      </c>
    </row>
    <row r="252" spans="1:11" x14ac:dyDescent="0.35">
      <c r="A252" s="3" t="s">
        <v>691</v>
      </c>
      <c r="B252" s="1" t="s">
        <v>731</v>
      </c>
      <c r="C252" s="1" t="s">
        <v>732</v>
      </c>
      <c r="D252" s="1" t="str">
        <f>"3431"</f>
        <v>3431</v>
      </c>
      <c r="E252" s="1" t="str">
        <f>"015077895"</f>
        <v>015077895</v>
      </c>
      <c r="F252" s="1" t="s">
        <v>733</v>
      </c>
      <c r="G252" s="3" t="s">
        <v>15</v>
      </c>
      <c r="H252" s="3" t="str">
        <f>"1"</f>
        <v>1</v>
      </c>
      <c r="I252" s="4">
        <v>3079.65</v>
      </c>
      <c r="J252" s="2">
        <v>45909</v>
      </c>
      <c r="K252" s="1" t="s">
        <v>734</v>
      </c>
    </row>
    <row r="253" spans="1:11" x14ac:dyDescent="0.35">
      <c r="A253" s="3" t="s">
        <v>691</v>
      </c>
      <c r="B253" s="1" t="s">
        <v>731</v>
      </c>
      <c r="C253" s="1" t="s">
        <v>759</v>
      </c>
      <c r="D253" s="1" t="str">
        <f>"8340"</f>
        <v>8340</v>
      </c>
      <c r="E253" s="1" t="str">
        <f>"014525919"</f>
        <v>014525919</v>
      </c>
      <c r="F253" s="1" t="s">
        <v>760</v>
      </c>
      <c r="G253" s="3" t="s">
        <v>15</v>
      </c>
      <c r="H253" s="3" t="str">
        <f>"10"</f>
        <v>10</v>
      </c>
      <c r="I253" s="4">
        <v>541.1</v>
      </c>
      <c r="J253" s="2">
        <v>45909</v>
      </c>
      <c r="K253" s="1" t="s">
        <v>761</v>
      </c>
    </row>
    <row r="254" spans="1:11" x14ac:dyDescent="0.35">
      <c r="A254" s="3" t="s">
        <v>691</v>
      </c>
      <c r="B254" s="1" t="s">
        <v>692</v>
      </c>
      <c r="C254" s="1" t="s">
        <v>693</v>
      </c>
      <c r="D254" s="1" t="str">
        <f>"2340"</f>
        <v>2340</v>
      </c>
      <c r="E254" s="1" t="s">
        <v>694</v>
      </c>
      <c r="F254" s="1" t="s">
        <v>695</v>
      </c>
      <c r="G254" s="3" t="s">
        <v>15</v>
      </c>
      <c r="H254" s="3" t="str">
        <f>"2"</f>
        <v>2</v>
      </c>
      <c r="I254" s="4" t="str">
        <f>"10000"</f>
        <v>10000</v>
      </c>
      <c r="J254" s="2">
        <v>45903</v>
      </c>
      <c r="K254" s="1" t="s">
        <v>696</v>
      </c>
    </row>
    <row r="255" spans="1:11" x14ac:dyDescent="0.35">
      <c r="A255" s="3" t="s">
        <v>691</v>
      </c>
      <c r="B255" s="1" t="s">
        <v>692</v>
      </c>
      <c r="C255" s="1" t="s">
        <v>697</v>
      </c>
      <c r="D255" s="1" t="str">
        <f>"2340"</f>
        <v>2340</v>
      </c>
      <c r="E255" s="1" t="s">
        <v>694</v>
      </c>
      <c r="F255" s="1" t="s">
        <v>695</v>
      </c>
      <c r="G255" s="3" t="s">
        <v>15</v>
      </c>
      <c r="H255" s="3" t="str">
        <f>"1"</f>
        <v>1</v>
      </c>
      <c r="I255" s="4" t="str">
        <f>"10000"</f>
        <v>10000</v>
      </c>
      <c r="J255" s="2">
        <v>45903</v>
      </c>
      <c r="K255" s="1" t="s">
        <v>696</v>
      </c>
    </row>
    <row r="256" spans="1:11" x14ac:dyDescent="0.35">
      <c r="A256" s="3" t="s">
        <v>691</v>
      </c>
      <c r="B256" s="1" t="s">
        <v>701</v>
      </c>
      <c r="C256" s="1" t="s">
        <v>705</v>
      </c>
      <c r="D256" s="1" t="str">
        <f>"5855"</f>
        <v>5855</v>
      </c>
      <c r="E256" s="1" t="str">
        <f>"015345931"</f>
        <v>015345931</v>
      </c>
      <c r="F256" s="1" t="s">
        <v>703</v>
      </c>
      <c r="G256" s="3" t="s">
        <v>15</v>
      </c>
      <c r="H256" s="3" t="str">
        <f>"10"</f>
        <v>10</v>
      </c>
      <c r="I256" s="4" t="str">
        <f>"976"</f>
        <v>976</v>
      </c>
      <c r="J256" s="2">
        <v>45903</v>
      </c>
      <c r="K256" s="1" t="s">
        <v>704</v>
      </c>
    </row>
    <row r="257" spans="1:11" x14ac:dyDescent="0.35">
      <c r="A257" s="3" t="s">
        <v>691</v>
      </c>
      <c r="B257" s="1" t="s">
        <v>731</v>
      </c>
      <c r="C257" s="1" t="s">
        <v>742</v>
      </c>
      <c r="D257" s="1" t="str">
        <f>"8145"</f>
        <v>8145</v>
      </c>
      <c r="E257" s="1" t="s">
        <v>743</v>
      </c>
      <c r="F257" s="1" t="s">
        <v>744</v>
      </c>
      <c r="G257" s="3" t="s">
        <v>15</v>
      </c>
      <c r="H257" s="3" t="str">
        <f>"20"</f>
        <v>20</v>
      </c>
      <c r="I257" s="4" t="str">
        <f>"400"</f>
        <v>400</v>
      </c>
      <c r="J257" s="2">
        <v>45903</v>
      </c>
      <c r="K257" s="1" t="s">
        <v>745</v>
      </c>
    </row>
    <row r="258" spans="1:11" x14ac:dyDescent="0.35">
      <c r="A258" s="3" t="s">
        <v>691</v>
      </c>
      <c r="B258" s="1" t="s">
        <v>731</v>
      </c>
      <c r="C258" s="1" t="s">
        <v>754</v>
      </c>
      <c r="D258" s="1" t="str">
        <f>"8145"</f>
        <v>8145</v>
      </c>
      <c r="E258" s="1" t="s">
        <v>743</v>
      </c>
      <c r="F258" s="1" t="s">
        <v>744</v>
      </c>
      <c r="G258" s="3" t="s">
        <v>15</v>
      </c>
      <c r="H258" s="3" t="str">
        <f>"3"</f>
        <v>3</v>
      </c>
      <c r="I258" s="4" t="str">
        <f>"250"</f>
        <v>250</v>
      </c>
      <c r="J258" s="2">
        <v>45903</v>
      </c>
      <c r="K258" s="1" t="s">
        <v>755</v>
      </c>
    </row>
    <row r="259" spans="1:11" x14ac:dyDescent="0.35">
      <c r="A259" s="3" t="s">
        <v>691</v>
      </c>
      <c r="B259" s="1" t="s">
        <v>782</v>
      </c>
      <c r="C259" s="1" t="s">
        <v>785</v>
      </c>
      <c r="D259" s="1" t="str">
        <f>"4240"</f>
        <v>4240</v>
      </c>
      <c r="E259" s="1" t="str">
        <f>"016772176"</f>
        <v>016772176</v>
      </c>
      <c r="F259" s="1" t="s">
        <v>496</v>
      </c>
      <c r="G259" s="3" t="s">
        <v>15</v>
      </c>
      <c r="H259" s="3" t="str">
        <f>"1"</f>
        <v>1</v>
      </c>
      <c r="I259" s="4">
        <v>99895.42</v>
      </c>
      <c r="J259" s="2">
        <v>45902</v>
      </c>
      <c r="K259" s="1" t="s">
        <v>786</v>
      </c>
    </row>
    <row r="260" spans="1:11" x14ac:dyDescent="0.35">
      <c r="A260" s="3" t="s">
        <v>691</v>
      </c>
      <c r="B260" s="1" t="s">
        <v>714</v>
      </c>
      <c r="C260" s="1" t="s">
        <v>715</v>
      </c>
      <c r="D260" s="1" t="str">
        <f>"3825"</f>
        <v>3825</v>
      </c>
      <c r="E260" s="1" t="s">
        <v>716</v>
      </c>
      <c r="F260" s="1" t="s">
        <v>717</v>
      </c>
      <c r="G260" s="3" t="s">
        <v>15</v>
      </c>
      <c r="H260" s="3" t="str">
        <f>"1"</f>
        <v>1</v>
      </c>
      <c r="I260" s="4">
        <v>44002.66</v>
      </c>
      <c r="J260" s="2">
        <v>45896</v>
      </c>
      <c r="K260" s="1" t="s">
        <v>718</v>
      </c>
    </row>
    <row r="261" spans="1:11" x14ac:dyDescent="0.35">
      <c r="A261" s="3" t="s">
        <v>691</v>
      </c>
      <c r="B261" s="1" t="s">
        <v>714</v>
      </c>
      <c r="C261" s="1" t="s">
        <v>719</v>
      </c>
      <c r="D261" s="1" t="str">
        <f>"3930"</f>
        <v>3930</v>
      </c>
      <c r="E261" s="1" t="s">
        <v>150</v>
      </c>
      <c r="F261" s="1" t="s">
        <v>151</v>
      </c>
      <c r="G261" s="3" t="s">
        <v>15</v>
      </c>
      <c r="H261" s="3" t="str">
        <f>"1"</f>
        <v>1</v>
      </c>
      <c r="I261" s="4" t="str">
        <f>"34647"</f>
        <v>34647</v>
      </c>
      <c r="J261" s="2">
        <v>45896</v>
      </c>
      <c r="K261" s="1" t="s">
        <v>720</v>
      </c>
    </row>
    <row r="262" spans="1:11" x14ac:dyDescent="0.35">
      <c r="A262" s="3" t="s">
        <v>691</v>
      </c>
      <c r="B262" s="1" t="s">
        <v>782</v>
      </c>
      <c r="C262" s="1" t="s">
        <v>803</v>
      </c>
      <c r="D262" s="1" t="str">
        <f>"8465"</f>
        <v>8465</v>
      </c>
      <c r="E262" s="1" t="str">
        <f>"016036613"</f>
        <v>016036613</v>
      </c>
      <c r="F262" s="1" t="s">
        <v>804</v>
      </c>
      <c r="G262" s="3" t="s">
        <v>15</v>
      </c>
      <c r="H262" s="3" t="str">
        <f>"43"</f>
        <v>43</v>
      </c>
      <c r="I262" s="4">
        <v>411.37</v>
      </c>
      <c r="J262" s="2">
        <v>45894</v>
      </c>
      <c r="K262" s="1" t="s">
        <v>805</v>
      </c>
    </row>
    <row r="263" spans="1:11" x14ac:dyDescent="0.35">
      <c r="A263" s="3" t="s">
        <v>691</v>
      </c>
      <c r="B263" s="1" t="s">
        <v>731</v>
      </c>
      <c r="C263" s="1" t="s">
        <v>740</v>
      </c>
      <c r="D263" s="1" t="str">
        <f>"8115"</f>
        <v>8115</v>
      </c>
      <c r="E263" s="1" t="str">
        <f>"016413215"</f>
        <v>016413215</v>
      </c>
      <c r="F263" s="1" t="s">
        <v>741</v>
      </c>
      <c r="G263" s="3" t="s">
        <v>15</v>
      </c>
      <c r="H263" s="3" t="str">
        <f>"1"</f>
        <v>1</v>
      </c>
      <c r="I263" s="4">
        <v>406.33</v>
      </c>
      <c r="J263" s="2">
        <v>45889</v>
      </c>
      <c r="K263" s="1" t="s">
        <v>739</v>
      </c>
    </row>
    <row r="264" spans="1:11" x14ac:dyDescent="0.35">
      <c r="A264" s="3" t="s">
        <v>691</v>
      </c>
      <c r="B264" s="1" t="s">
        <v>731</v>
      </c>
      <c r="C264" s="1" t="s">
        <v>756</v>
      </c>
      <c r="D264" s="1" t="str">
        <f>"8340"</f>
        <v>8340</v>
      </c>
      <c r="E264" s="1" t="str">
        <f>"015216438"</f>
        <v>015216438</v>
      </c>
      <c r="F264" s="1" t="s">
        <v>757</v>
      </c>
      <c r="G264" s="3" t="s">
        <v>15</v>
      </c>
      <c r="H264" s="3" t="str">
        <f>"4"</f>
        <v>4</v>
      </c>
      <c r="I264" s="4">
        <v>383.11</v>
      </c>
      <c r="J264" s="2">
        <v>45889</v>
      </c>
      <c r="K264" s="1" t="s">
        <v>758</v>
      </c>
    </row>
    <row r="265" spans="1:11" x14ac:dyDescent="0.35">
      <c r="A265" s="3" t="s">
        <v>691</v>
      </c>
      <c r="B265" s="1" t="s">
        <v>731</v>
      </c>
      <c r="C265" s="1" t="s">
        <v>762</v>
      </c>
      <c r="D265" s="1" t="str">
        <f>"8340"</f>
        <v>8340</v>
      </c>
      <c r="E265" s="1" t="str">
        <f>"016004809"</f>
        <v>016004809</v>
      </c>
      <c r="F265" s="1" t="s">
        <v>763</v>
      </c>
      <c r="G265" s="3" t="s">
        <v>15</v>
      </c>
      <c r="H265" s="3" t="str">
        <f>"19"</f>
        <v>19</v>
      </c>
      <c r="I265" s="4">
        <v>76.260000000000005</v>
      </c>
      <c r="J265" s="2">
        <v>45889</v>
      </c>
      <c r="K265" s="1" t="s">
        <v>764</v>
      </c>
    </row>
    <row r="266" spans="1:11" x14ac:dyDescent="0.35">
      <c r="A266" s="3" t="s">
        <v>691</v>
      </c>
      <c r="B266" s="1" t="s">
        <v>731</v>
      </c>
      <c r="C266" s="1" t="s">
        <v>765</v>
      </c>
      <c r="D266" s="1" t="str">
        <f>"8340"</f>
        <v>8340</v>
      </c>
      <c r="E266" s="1" t="str">
        <f>"016004807"</f>
        <v>016004807</v>
      </c>
      <c r="F266" s="1" t="s">
        <v>763</v>
      </c>
      <c r="G266" s="3" t="s">
        <v>15</v>
      </c>
      <c r="H266" s="3" t="str">
        <f>"6"</f>
        <v>6</v>
      </c>
      <c r="I266" s="4">
        <v>75.319999999999993</v>
      </c>
      <c r="J266" s="2">
        <v>45889</v>
      </c>
      <c r="K266" s="1" t="s">
        <v>766</v>
      </c>
    </row>
    <row r="267" spans="1:11" x14ac:dyDescent="0.35">
      <c r="A267" s="3" t="s">
        <v>691</v>
      </c>
      <c r="B267" s="1" t="s">
        <v>731</v>
      </c>
      <c r="C267" s="1" t="s">
        <v>775</v>
      </c>
      <c r="D267" s="1" t="str">
        <f>"8415"</f>
        <v>8415</v>
      </c>
      <c r="E267" s="1" t="str">
        <f>"013950005"</f>
        <v>013950005</v>
      </c>
      <c r="F267" s="1" t="s">
        <v>768</v>
      </c>
      <c r="G267" s="3" t="s">
        <v>15</v>
      </c>
      <c r="H267" s="3" t="str">
        <f>"5"</f>
        <v>5</v>
      </c>
      <c r="I267" s="4">
        <v>191.78</v>
      </c>
      <c r="J267" s="2">
        <v>45889</v>
      </c>
      <c r="K267" s="1" t="s">
        <v>776</v>
      </c>
    </row>
    <row r="268" spans="1:11" x14ac:dyDescent="0.35">
      <c r="A268" s="3" t="s">
        <v>691</v>
      </c>
      <c r="B268" s="1" t="s">
        <v>782</v>
      </c>
      <c r="C268" s="1" t="s">
        <v>795</v>
      </c>
      <c r="D268" s="1" t="str">
        <f>"6230"</f>
        <v>6230</v>
      </c>
      <c r="E268" s="1" t="str">
        <f>"016134312"</f>
        <v>016134312</v>
      </c>
      <c r="F268" s="1" t="s">
        <v>538</v>
      </c>
      <c r="G268" s="3" t="s">
        <v>15</v>
      </c>
      <c r="H268" s="3" t="str">
        <f>"10"</f>
        <v>10</v>
      </c>
      <c r="I268" s="4">
        <v>125.19</v>
      </c>
      <c r="J268" s="2">
        <v>45882</v>
      </c>
      <c r="K268" s="1" t="s">
        <v>796</v>
      </c>
    </row>
    <row r="269" spans="1:11" x14ac:dyDescent="0.35">
      <c r="A269" s="3" t="s">
        <v>691</v>
      </c>
      <c r="B269" s="1" t="s">
        <v>782</v>
      </c>
      <c r="C269" s="1" t="s">
        <v>787</v>
      </c>
      <c r="D269" s="1" t="str">
        <f>"4240"</f>
        <v>4240</v>
      </c>
      <c r="E269" s="1" t="str">
        <f>"015439618"</f>
        <v>015439618</v>
      </c>
      <c r="F269" s="1" t="s">
        <v>256</v>
      </c>
      <c r="G269" s="3" t="s">
        <v>15</v>
      </c>
      <c r="H269" s="3" t="str">
        <f>"100"</f>
        <v>100</v>
      </c>
      <c r="I269" s="4">
        <v>28.63</v>
      </c>
      <c r="J269" s="2">
        <v>45876</v>
      </c>
      <c r="K269" s="1" t="s">
        <v>788</v>
      </c>
    </row>
    <row r="270" spans="1:11" x14ac:dyDescent="0.35">
      <c r="A270" s="3" t="s">
        <v>691</v>
      </c>
      <c r="B270" s="1" t="s">
        <v>782</v>
      </c>
      <c r="C270" s="1" t="s">
        <v>799</v>
      </c>
      <c r="D270" s="1" t="str">
        <f>"7830"</f>
        <v>7830</v>
      </c>
      <c r="E270" s="1" t="s">
        <v>800</v>
      </c>
      <c r="F270" s="1" t="s">
        <v>801</v>
      </c>
      <c r="G270" s="3" t="s">
        <v>15</v>
      </c>
      <c r="H270" s="3" t="str">
        <f>"1"</f>
        <v>1</v>
      </c>
      <c r="I270" s="4" t="str">
        <f>"1000"</f>
        <v>1000</v>
      </c>
      <c r="J270" s="2">
        <v>45876</v>
      </c>
      <c r="K270" s="1" t="s">
        <v>802</v>
      </c>
    </row>
    <row r="271" spans="1:11" x14ac:dyDescent="0.35">
      <c r="A271" s="3" t="s">
        <v>691</v>
      </c>
      <c r="B271" s="1" t="s">
        <v>731</v>
      </c>
      <c r="C271" s="1" t="s">
        <v>737</v>
      </c>
      <c r="D271" s="1" t="str">
        <f>"5180"</f>
        <v>5180</v>
      </c>
      <c r="E271" s="1" t="str">
        <f>"016295027"</f>
        <v>016295027</v>
      </c>
      <c r="F271" s="1" t="s">
        <v>738</v>
      </c>
      <c r="G271" s="3" t="s">
        <v>19</v>
      </c>
      <c r="H271" s="3" t="str">
        <f>"1"</f>
        <v>1</v>
      </c>
      <c r="I271" s="4" t="str">
        <f>"6734"</f>
        <v>6734</v>
      </c>
      <c r="J271" s="2">
        <v>45874</v>
      </c>
      <c r="K271" s="1" t="s">
        <v>739</v>
      </c>
    </row>
    <row r="272" spans="1:11" x14ac:dyDescent="0.35">
      <c r="A272" s="3" t="s">
        <v>691</v>
      </c>
      <c r="B272" s="1" t="s">
        <v>731</v>
      </c>
      <c r="C272" s="1" t="s">
        <v>746</v>
      </c>
      <c r="D272" s="1" t="str">
        <f>"8145"</f>
        <v>8145</v>
      </c>
      <c r="E272" s="1" t="s">
        <v>747</v>
      </c>
      <c r="F272" s="1" t="s">
        <v>748</v>
      </c>
      <c r="G272" s="3" t="s">
        <v>15</v>
      </c>
      <c r="H272" s="3" t="str">
        <f>"1"</f>
        <v>1</v>
      </c>
      <c r="I272" s="4" t="str">
        <f>"210"</f>
        <v>210</v>
      </c>
      <c r="J272" s="2">
        <v>45874</v>
      </c>
      <c r="K272" s="1" t="s">
        <v>749</v>
      </c>
    </row>
    <row r="273" spans="1:11" x14ac:dyDescent="0.35">
      <c r="A273" s="3" t="s">
        <v>691</v>
      </c>
      <c r="B273" s="1" t="s">
        <v>731</v>
      </c>
      <c r="C273" s="1" t="s">
        <v>752</v>
      </c>
      <c r="D273" s="1" t="str">
        <f>"8145"</f>
        <v>8145</v>
      </c>
      <c r="E273" s="1" t="s">
        <v>743</v>
      </c>
      <c r="F273" s="1" t="s">
        <v>744</v>
      </c>
      <c r="G273" s="3" t="s">
        <v>15</v>
      </c>
      <c r="H273" s="3" t="str">
        <f>"2"</f>
        <v>2</v>
      </c>
      <c r="I273" s="4">
        <v>1167.99</v>
      </c>
      <c r="J273" s="2">
        <v>45874</v>
      </c>
      <c r="K273" s="1" t="s">
        <v>753</v>
      </c>
    </row>
    <row r="274" spans="1:11" x14ac:dyDescent="0.35">
      <c r="A274" s="3" t="s">
        <v>691</v>
      </c>
      <c r="B274" s="1" t="s">
        <v>707</v>
      </c>
      <c r="C274" s="1" t="s">
        <v>708</v>
      </c>
      <c r="D274" s="1" t="str">
        <f>"1240"</f>
        <v>1240</v>
      </c>
      <c r="E274" s="1" t="str">
        <f>"016224867"</f>
        <v>016224867</v>
      </c>
      <c r="F274" s="1" t="s">
        <v>269</v>
      </c>
      <c r="G274" s="3" t="s">
        <v>15</v>
      </c>
      <c r="H274" s="3" t="str">
        <f>"45"</f>
        <v>45</v>
      </c>
      <c r="I274" s="4">
        <v>651.79</v>
      </c>
      <c r="J274" s="2">
        <v>45870</v>
      </c>
      <c r="K274" s="1" t="s">
        <v>709</v>
      </c>
    </row>
    <row r="275" spans="1:11" x14ac:dyDescent="0.35">
      <c r="A275" s="3" t="s">
        <v>691</v>
      </c>
      <c r="B275" s="1" t="s">
        <v>707</v>
      </c>
      <c r="C275" s="1" t="s">
        <v>710</v>
      </c>
      <c r="D275" s="1" t="str">
        <f>"1240"</f>
        <v>1240</v>
      </c>
      <c r="E275" s="1" t="str">
        <f>"015751105"</f>
        <v>015751105</v>
      </c>
      <c r="F275" s="1" t="s">
        <v>208</v>
      </c>
      <c r="G275" s="3" t="s">
        <v>15</v>
      </c>
      <c r="H275" s="3" t="str">
        <f>"12"</f>
        <v>12</v>
      </c>
      <c r="I275" s="4" t="str">
        <f>"7974"</f>
        <v>7974</v>
      </c>
      <c r="J275" s="2">
        <v>45870</v>
      </c>
      <c r="K275" s="1" t="s">
        <v>711</v>
      </c>
    </row>
    <row r="276" spans="1:11" x14ac:dyDescent="0.35">
      <c r="A276" s="3" t="s">
        <v>691</v>
      </c>
      <c r="B276" s="1" t="s">
        <v>707</v>
      </c>
      <c r="C276" s="1" t="s">
        <v>712</v>
      </c>
      <c r="D276" s="1" t="str">
        <f>"1240"</f>
        <v>1240</v>
      </c>
      <c r="E276" s="1" t="str">
        <f>"015980150"</f>
        <v>015980150</v>
      </c>
      <c r="F276" s="1" t="s">
        <v>208</v>
      </c>
      <c r="G276" s="3" t="s">
        <v>15</v>
      </c>
      <c r="H276" s="3" t="str">
        <f>"4"</f>
        <v>4</v>
      </c>
      <c r="I276" s="4" t="str">
        <f>"19077"</f>
        <v>19077</v>
      </c>
      <c r="J276" s="2">
        <v>45870</v>
      </c>
      <c r="K276" s="1" t="s">
        <v>713</v>
      </c>
    </row>
    <row r="277" spans="1:11" x14ac:dyDescent="0.35">
      <c r="A277" s="3" t="s">
        <v>691</v>
      </c>
      <c r="B277" s="1" t="s">
        <v>714</v>
      </c>
      <c r="C277" s="1" t="s">
        <v>724</v>
      </c>
      <c r="D277" s="1" t="str">
        <f>"4910"</f>
        <v>4910</v>
      </c>
      <c r="E277" s="1" t="s">
        <v>264</v>
      </c>
      <c r="F277" s="1" t="s">
        <v>265</v>
      </c>
      <c r="G277" s="3" t="s">
        <v>15</v>
      </c>
      <c r="H277" s="3" t="str">
        <f>"1"</f>
        <v>1</v>
      </c>
      <c r="I277" s="4" t="str">
        <f>"6700"</f>
        <v>6700</v>
      </c>
      <c r="J277" s="2">
        <v>45869</v>
      </c>
      <c r="K277" s="1" t="s">
        <v>725</v>
      </c>
    </row>
    <row r="278" spans="1:11" x14ac:dyDescent="0.35">
      <c r="A278" s="3" t="s">
        <v>691</v>
      </c>
      <c r="B278" s="1" t="s">
        <v>714</v>
      </c>
      <c r="C278" s="1" t="s">
        <v>726</v>
      </c>
      <c r="D278" s="1" t="str">
        <f>"5180"</f>
        <v>5180</v>
      </c>
      <c r="E278" s="1" t="str">
        <f>"014830250"</f>
        <v>014830250</v>
      </c>
      <c r="F278" s="1" t="s">
        <v>222</v>
      </c>
      <c r="G278" s="3" t="s">
        <v>58</v>
      </c>
      <c r="H278" s="3" t="str">
        <f>"3"</f>
        <v>3</v>
      </c>
      <c r="I278" s="4" t="str">
        <f>"1818"</f>
        <v>1818</v>
      </c>
      <c r="J278" s="2">
        <v>45869</v>
      </c>
      <c r="K278" s="1" t="s">
        <v>727</v>
      </c>
    </row>
    <row r="279" spans="1:11" x14ac:dyDescent="0.35">
      <c r="A279" s="3" t="s">
        <v>691</v>
      </c>
      <c r="B279" s="1" t="s">
        <v>714</v>
      </c>
      <c r="C279" s="1" t="s">
        <v>728</v>
      </c>
      <c r="D279" s="1" t="str">
        <f>"7025"</f>
        <v>7025</v>
      </c>
      <c r="E279" s="1" t="str">
        <f>"015834253"</f>
        <v>015834253</v>
      </c>
      <c r="F279" s="1" t="s">
        <v>729</v>
      </c>
      <c r="G279" s="3" t="s">
        <v>15</v>
      </c>
      <c r="H279" s="3" t="str">
        <f>"2"</f>
        <v>2</v>
      </c>
      <c r="I279" s="4" t="str">
        <f>"2737"</f>
        <v>2737</v>
      </c>
      <c r="J279" s="2">
        <v>45869</v>
      </c>
      <c r="K279" s="1" t="s">
        <v>730</v>
      </c>
    </row>
    <row r="280" spans="1:11" x14ac:dyDescent="0.35">
      <c r="A280" s="3" t="s">
        <v>691</v>
      </c>
      <c r="B280" s="1" t="s">
        <v>731</v>
      </c>
      <c r="C280" s="1" t="s">
        <v>735</v>
      </c>
      <c r="D280" s="1" t="str">
        <f>"5120"</f>
        <v>5120</v>
      </c>
      <c r="E280" s="1" t="str">
        <f>"009619815"</f>
        <v>009619815</v>
      </c>
      <c r="F280" s="1" t="s">
        <v>217</v>
      </c>
      <c r="G280" s="3" t="s">
        <v>58</v>
      </c>
      <c r="H280" s="3" t="str">
        <f>"1"</f>
        <v>1</v>
      </c>
      <c r="I280" s="4">
        <v>14818.18</v>
      </c>
      <c r="J280" s="2">
        <v>45868</v>
      </c>
      <c r="K280" s="1" t="s">
        <v>736</v>
      </c>
    </row>
    <row r="281" spans="1:11" x14ac:dyDescent="0.35">
      <c r="A281" s="3" t="s">
        <v>691</v>
      </c>
      <c r="B281" s="1" t="s">
        <v>782</v>
      </c>
      <c r="C281" s="1" t="s">
        <v>791</v>
      </c>
      <c r="D281" s="1" t="str">
        <f>"6230"</f>
        <v>6230</v>
      </c>
      <c r="E281" s="1" t="str">
        <f>"015894822"</f>
        <v>015894822</v>
      </c>
      <c r="F281" s="1" t="s">
        <v>310</v>
      </c>
      <c r="G281" s="3" t="s">
        <v>15</v>
      </c>
      <c r="H281" s="3" t="str">
        <f>"25"</f>
        <v>25</v>
      </c>
      <c r="I281" s="4">
        <v>889.39</v>
      </c>
      <c r="J281" s="2">
        <v>45866</v>
      </c>
      <c r="K281" s="1" t="s">
        <v>792</v>
      </c>
    </row>
    <row r="282" spans="1:11" x14ac:dyDescent="0.35">
      <c r="A282" s="3" t="s">
        <v>691</v>
      </c>
      <c r="B282" s="1" t="s">
        <v>782</v>
      </c>
      <c r="C282" s="1" t="s">
        <v>793</v>
      </c>
      <c r="D282" s="1" t="str">
        <f>"6230"</f>
        <v>6230</v>
      </c>
      <c r="E282" s="1" t="str">
        <f>"015894822"</f>
        <v>015894822</v>
      </c>
      <c r="F282" s="1" t="s">
        <v>310</v>
      </c>
      <c r="G282" s="3" t="s">
        <v>15</v>
      </c>
      <c r="H282" s="3" t="str">
        <f>"50"</f>
        <v>50</v>
      </c>
      <c r="I282" s="4">
        <v>889.39</v>
      </c>
      <c r="J282" s="2">
        <v>45866</v>
      </c>
      <c r="K282" s="1" t="s">
        <v>794</v>
      </c>
    </row>
    <row r="283" spans="1:11" x14ac:dyDescent="0.35">
      <c r="A283" s="3" t="s">
        <v>691</v>
      </c>
      <c r="B283" s="1" t="s">
        <v>782</v>
      </c>
      <c r="C283" s="1" t="s">
        <v>797</v>
      </c>
      <c r="D283" s="1" t="str">
        <f>"6545"</f>
        <v>6545</v>
      </c>
      <c r="E283" s="1" t="str">
        <f>"015324962"</f>
        <v>015324962</v>
      </c>
      <c r="F283" s="1" t="s">
        <v>32</v>
      </c>
      <c r="G283" s="3" t="s">
        <v>19</v>
      </c>
      <c r="H283" s="3" t="str">
        <f>"3"</f>
        <v>3</v>
      </c>
      <c r="I283" s="4">
        <v>1868.26</v>
      </c>
      <c r="J283" s="2">
        <v>45866</v>
      </c>
      <c r="K283" s="1" t="s">
        <v>798</v>
      </c>
    </row>
    <row r="284" spans="1:11" x14ac:dyDescent="0.35">
      <c r="A284" s="3" t="s">
        <v>691</v>
      </c>
      <c r="B284" s="1" t="s">
        <v>692</v>
      </c>
      <c r="C284" s="1" t="s">
        <v>698</v>
      </c>
      <c r="D284" s="1" t="str">
        <f>"8460"</f>
        <v>8460</v>
      </c>
      <c r="E284" s="1" t="str">
        <f>"006068366"</f>
        <v>006068366</v>
      </c>
      <c r="F284" s="1" t="s">
        <v>699</v>
      </c>
      <c r="G284" s="3" t="s">
        <v>15</v>
      </c>
      <c r="H284" s="3" t="str">
        <f>"10"</f>
        <v>10</v>
      </c>
      <c r="I284" s="4">
        <v>39.590000000000003</v>
      </c>
      <c r="J284" s="2">
        <v>45846</v>
      </c>
      <c r="K284" s="1" t="s">
        <v>700</v>
      </c>
    </row>
    <row r="285" spans="1:11" x14ac:dyDescent="0.35">
      <c r="A285" s="3" t="s">
        <v>691</v>
      </c>
      <c r="B285" s="1" t="s">
        <v>714</v>
      </c>
      <c r="C285" s="1" t="s">
        <v>721</v>
      </c>
      <c r="D285" s="1" t="str">
        <f>"3960"</f>
        <v>3960</v>
      </c>
      <c r="E285" s="1" t="str">
        <f>"014846747"</f>
        <v>014846747</v>
      </c>
      <c r="F285" s="1" t="s">
        <v>722</v>
      </c>
      <c r="G285" s="3" t="s">
        <v>15</v>
      </c>
      <c r="H285" s="3" t="str">
        <f>"1"</f>
        <v>1</v>
      </c>
      <c r="I285" s="4">
        <v>29083.67</v>
      </c>
      <c r="J285" s="2">
        <v>45846</v>
      </c>
      <c r="K285" s="1" t="s">
        <v>723</v>
      </c>
    </row>
    <row r="286" spans="1:11" x14ac:dyDescent="0.35">
      <c r="A286" s="3" t="s">
        <v>806</v>
      </c>
      <c r="B286" s="1" t="s">
        <v>859</v>
      </c>
      <c r="C286" s="1" t="s">
        <v>860</v>
      </c>
      <c r="D286" s="1" t="str">
        <f>"6625"</f>
        <v>6625</v>
      </c>
      <c r="E286" s="1" t="str">
        <f>"015859211"</f>
        <v>015859211</v>
      </c>
      <c r="F286" s="1" t="s">
        <v>132</v>
      </c>
      <c r="G286" s="3" t="s">
        <v>15</v>
      </c>
      <c r="H286" s="3" t="str">
        <f>"1"</f>
        <v>1</v>
      </c>
      <c r="I286" s="4" t="str">
        <f>"600"</f>
        <v>600</v>
      </c>
      <c r="J286" s="2">
        <v>45929</v>
      </c>
      <c r="K286" s="1" t="s">
        <v>861</v>
      </c>
    </row>
    <row r="287" spans="1:11" x14ac:dyDescent="0.35">
      <c r="A287" s="3" t="s">
        <v>806</v>
      </c>
      <c r="B287" s="1" t="s">
        <v>870</v>
      </c>
      <c r="C287" s="1" t="s">
        <v>876</v>
      </c>
      <c r="D287" s="1" t="str">
        <f>"5180"</f>
        <v>5180</v>
      </c>
      <c r="E287" s="1" t="str">
        <f>"016067154"</f>
        <v>016067154</v>
      </c>
      <c r="F287" s="1" t="s">
        <v>18</v>
      </c>
      <c r="G287" s="3" t="s">
        <v>19</v>
      </c>
      <c r="H287" s="3" t="str">
        <f>"4"</f>
        <v>4</v>
      </c>
      <c r="I287" s="4" t="str">
        <f>"3600"</f>
        <v>3600</v>
      </c>
      <c r="J287" s="2">
        <v>45925</v>
      </c>
      <c r="K287" s="1" t="s">
        <v>877</v>
      </c>
    </row>
    <row r="288" spans="1:11" x14ac:dyDescent="0.35">
      <c r="A288" s="3" t="s">
        <v>806</v>
      </c>
      <c r="B288" s="1" t="s">
        <v>870</v>
      </c>
      <c r="C288" s="1" t="s">
        <v>885</v>
      </c>
      <c r="D288" s="1" t="str">
        <f>"6760"</f>
        <v>6760</v>
      </c>
      <c r="E288" s="1" t="str">
        <f>"014672234"</f>
        <v>014672234</v>
      </c>
      <c r="F288" s="1" t="s">
        <v>886</v>
      </c>
      <c r="G288" s="3" t="s">
        <v>15</v>
      </c>
      <c r="H288" s="3" t="str">
        <f>"2"</f>
        <v>2</v>
      </c>
      <c r="I288" s="4">
        <v>232.5</v>
      </c>
      <c r="J288" s="2">
        <v>45925</v>
      </c>
      <c r="K288" s="1" t="s">
        <v>887</v>
      </c>
    </row>
    <row r="289" spans="1:11" x14ac:dyDescent="0.35">
      <c r="A289" s="3" t="s">
        <v>806</v>
      </c>
      <c r="B289" s="1" t="s">
        <v>870</v>
      </c>
      <c r="C289" s="1" t="s">
        <v>911</v>
      </c>
      <c r="D289" s="1" t="str">
        <f>"8415"</f>
        <v>8415</v>
      </c>
      <c r="E289" s="1" t="str">
        <f>"015734950"</f>
        <v>015734950</v>
      </c>
      <c r="F289" s="1" t="s">
        <v>904</v>
      </c>
      <c r="G289" s="3" t="s">
        <v>15</v>
      </c>
      <c r="H289" s="3" t="str">
        <f>"7"</f>
        <v>7</v>
      </c>
      <c r="I289" s="4">
        <v>215.4</v>
      </c>
      <c r="J289" s="2">
        <v>45925</v>
      </c>
      <c r="K289" s="1" t="s">
        <v>4313</v>
      </c>
    </row>
    <row r="290" spans="1:11" x14ac:dyDescent="0.35">
      <c r="A290" s="3" t="s">
        <v>806</v>
      </c>
      <c r="B290" s="1" t="s">
        <v>870</v>
      </c>
      <c r="C290" s="1" t="s">
        <v>938</v>
      </c>
      <c r="D290" s="1" t="str">
        <f>"8465"</f>
        <v>8465</v>
      </c>
      <c r="E290" s="1" t="str">
        <f>"013935183"</f>
        <v>013935183</v>
      </c>
      <c r="F290" s="1" t="s">
        <v>939</v>
      </c>
      <c r="G290" s="3" t="s">
        <v>15</v>
      </c>
      <c r="H290" s="3" t="str">
        <f>"24"</f>
        <v>24</v>
      </c>
      <c r="I290" s="4">
        <v>93.25</v>
      </c>
      <c r="J290" s="2">
        <v>45925</v>
      </c>
      <c r="K290" s="1" t="s">
        <v>940</v>
      </c>
    </row>
    <row r="291" spans="1:11" x14ac:dyDescent="0.35">
      <c r="A291" s="3" t="s">
        <v>806</v>
      </c>
      <c r="B291" s="1" t="s">
        <v>870</v>
      </c>
      <c r="C291" s="1" t="s">
        <v>878</v>
      </c>
      <c r="D291" s="1" t="str">
        <f>"6545"</f>
        <v>6545</v>
      </c>
      <c r="E291" s="1" t="str">
        <f>"015300929"</f>
        <v>015300929</v>
      </c>
      <c r="F291" s="1" t="s">
        <v>293</v>
      </c>
      <c r="G291" s="3" t="s">
        <v>19</v>
      </c>
      <c r="H291" s="3" t="str">
        <f>"53"</f>
        <v>53</v>
      </c>
      <c r="I291" s="4">
        <v>62.81</v>
      </c>
      <c r="J291" s="2">
        <v>45923</v>
      </c>
      <c r="K291" s="1" t="s">
        <v>879</v>
      </c>
    </row>
    <row r="292" spans="1:11" x14ac:dyDescent="0.35">
      <c r="A292" s="3" t="s">
        <v>806</v>
      </c>
      <c r="B292" s="1" t="s">
        <v>870</v>
      </c>
      <c r="C292" s="1" t="s">
        <v>884</v>
      </c>
      <c r="D292" s="1" t="str">
        <f>"6545"</f>
        <v>6545</v>
      </c>
      <c r="E292" s="1" t="str">
        <f>"015300929"</f>
        <v>015300929</v>
      </c>
      <c r="F292" s="1" t="s">
        <v>293</v>
      </c>
      <c r="G292" s="3" t="s">
        <v>19</v>
      </c>
      <c r="H292" s="3" t="str">
        <f>"70"</f>
        <v>70</v>
      </c>
      <c r="I292" s="4">
        <v>62.81</v>
      </c>
      <c r="J292" s="2">
        <v>45923</v>
      </c>
      <c r="K292" s="1" t="s">
        <v>879</v>
      </c>
    </row>
    <row r="293" spans="1:11" x14ac:dyDescent="0.35">
      <c r="A293" s="3" t="s">
        <v>806</v>
      </c>
      <c r="B293" s="1" t="s">
        <v>870</v>
      </c>
      <c r="C293" s="1" t="s">
        <v>925</v>
      </c>
      <c r="D293" s="1" t="str">
        <f>"8465"</f>
        <v>8465</v>
      </c>
      <c r="E293" s="1" t="str">
        <f>"015250606"</f>
        <v>015250606</v>
      </c>
      <c r="F293" s="1" t="s">
        <v>926</v>
      </c>
      <c r="G293" s="3" t="s">
        <v>15</v>
      </c>
      <c r="H293" s="3" t="str">
        <f>"200"</f>
        <v>200</v>
      </c>
      <c r="I293" s="4">
        <v>5.62</v>
      </c>
      <c r="J293" s="2">
        <v>45923</v>
      </c>
      <c r="K293" s="1" t="s">
        <v>927</v>
      </c>
    </row>
    <row r="294" spans="1:11" x14ac:dyDescent="0.35">
      <c r="A294" s="3" t="s">
        <v>806</v>
      </c>
      <c r="B294" s="1" t="s">
        <v>870</v>
      </c>
      <c r="C294" s="1" t="s">
        <v>929</v>
      </c>
      <c r="D294" s="1" t="str">
        <f>"8465"</f>
        <v>8465</v>
      </c>
      <c r="E294" s="1" t="str">
        <f>"015250606"</f>
        <v>015250606</v>
      </c>
      <c r="F294" s="1" t="s">
        <v>926</v>
      </c>
      <c r="G294" s="3" t="s">
        <v>15</v>
      </c>
      <c r="H294" s="3" t="str">
        <f>"313"</f>
        <v>313</v>
      </c>
      <c r="I294" s="4">
        <v>5.62</v>
      </c>
      <c r="J294" s="2">
        <v>45923</v>
      </c>
      <c r="K294" s="1" t="s">
        <v>927</v>
      </c>
    </row>
    <row r="295" spans="1:11" x14ac:dyDescent="0.35">
      <c r="A295" s="3" t="s">
        <v>806</v>
      </c>
      <c r="B295" s="1" t="s">
        <v>1079</v>
      </c>
      <c r="C295" s="1" t="s">
        <v>1092</v>
      </c>
      <c r="D295" s="1" t="str">
        <f>"3930"</f>
        <v>3930</v>
      </c>
      <c r="E295" s="1" t="s">
        <v>150</v>
      </c>
      <c r="F295" s="1" t="s">
        <v>151</v>
      </c>
      <c r="G295" s="3" t="s">
        <v>15</v>
      </c>
      <c r="H295" s="3" t="str">
        <f>"1"</f>
        <v>1</v>
      </c>
      <c r="I295" s="4" t="str">
        <f>"20000"</f>
        <v>20000</v>
      </c>
      <c r="J295" s="2">
        <v>45923</v>
      </c>
      <c r="K295" s="1" t="s">
        <v>1093</v>
      </c>
    </row>
    <row r="296" spans="1:11" x14ac:dyDescent="0.35">
      <c r="A296" s="3" t="s">
        <v>806</v>
      </c>
      <c r="B296" s="1" t="s">
        <v>1079</v>
      </c>
      <c r="C296" s="1" t="s">
        <v>1118</v>
      </c>
      <c r="D296" s="1" t="str">
        <f>"4710"</f>
        <v>4710</v>
      </c>
      <c r="E296" s="1" t="str">
        <f>"002788980"</f>
        <v>002788980</v>
      </c>
      <c r="F296" s="1" t="s">
        <v>1119</v>
      </c>
      <c r="G296" s="3" t="s">
        <v>1120</v>
      </c>
      <c r="H296" s="3" t="str">
        <f>"711"</f>
        <v>711</v>
      </c>
      <c r="I296" s="4">
        <v>4.21</v>
      </c>
      <c r="J296" s="2">
        <v>45923</v>
      </c>
      <c r="K296" s="1" t="s">
        <v>1121</v>
      </c>
    </row>
    <row r="297" spans="1:11" x14ac:dyDescent="0.35">
      <c r="A297" s="3" t="s">
        <v>806</v>
      </c>
      <c r="B297" s="1" t="s">
        <v>1079</v>
      </c>
      <c r="C297" s="1" t="s">
        <v>1124</v>
      </c>
      <c r="D297" s="1" t="str">
        <f>"4940"</f>
        <v>4940</v>
      </c>
      <c r="E297" s="1" t="str">
        <f>"012958134"</f>
        <v>012958134</v>
      </c>
      <c r="F297" s="1" t="s">
        <v>1125</v>
      </c>
      <c r="G297" s="3" t="s">
        <v>15</v>
      </c>
      <c r="H297" s="3" t="str">
        <f>"3"</f>
        <v>3</v>
      </c>
      <c r="I297" s="4">
        <v>150.47999999999999</v>
      </c>
      <c r="J297" s="2">
        <v>45923</v>
      </c>
      <c r="K297" s="1" t="s">
        <v>1126</v>
      </c>
    </row>
    <row r="298" spans="1:11" x14ac:dyDescent="0.35">
      <c r="A298" s="3" t="s">
        <v>806</v>
      </c>
      <c r="B298" s="1" t="s">
        <v>1079</v>
      </c>
      <c r="C298" s="1" t="s">
        <v>1131</v>
      </c>
      <c r="D298" s="1" t="str">
        <f>"5120"</f>
        <v>5120</v>
      </c>
      <c r="E298" s="1" t="s">
        <v>1132</v>
      </c>
      <c r="F298" s="1" t="s">
        <v>1133</v>
      </c>
      <c r="G298" s="3" t="s">
        <v>15</v>
      </c>
      <c r="H298" s="3" t="str">
        <f>"4"</f>
        <v>4</v>
      </c>
      <c r="I298" s="4" t="str">
        <f>"5"</f>
        <v>5</v>
      </c>
      <c r="J298" s="2">
        <v>45923</v>
      </c>
      <c r="K298" s="1" t="s">
        <v>1134</v>
      </c>
    </row>
    <row r="299" spans="1:11" x14ac:dyDescent="0.35">
      <c r="A299" s="3" t="s">
        <v>806</v>
      </c>
      <c r="B299" s="1" t="s">
        <v>1079</v>
      </c>
      <c r="C299" s="1" t="s">
        <v>1135</v>
      </c>
      <c r="D299" s="1" t="str">
        <f>"5120"</f>
        <v>5120</v>
      </c>
      <c r="E299" s="1" t="s">
        <v>1132</v>
      </c>
      <c r="F299" s="1" t="s">
        <v>1133</v>
      </c>
      <c r="G299" s="3" t="s">
        <v>15</v>
      </c>
      <c r="H299" s="3" t="str">
        <f>"2"</f>
        <v>2</v>
      </c>
      <c r="I299" s="4" t="str">
        <f>"10"</f>
        <v>10</v>
      </c>
      <c r="J299" s="2">
        <v>45923</v>
      </c>
      <c r="K299" s="1" t="s">
        <v>1134</v>
      </c>
    </row>
    <row r="300" spans="1:11" x14ac:dyDescent="0.35">
      <c r="A300" s="3" t="s">
        <v>806</v>
      </c>
      <c r="B300" s="1" t="s">
        <v>1079</v>
      </c>
      <c r="C300" s="1" t="s">
        <v>1145</v>
      </c>
      <c r="D300" s="1" t="str">
        <f>"5120"</f>
        <v>5120</v>
      </c>
      <c r="E300" s="1" t="s">
        <v>1029</v>
      </c>
      <c r="F300" s="1" t="s">
        <v>1030</v>
      </c>
      <c r="G300" s="3" t="s">
        <v>15</v>
      </c>
      <c r="H300" s="3" t="str">
        <f>"2"</f>
        <v>2</v>
      </c>
      <c r="I300" s="4" t="str">
        <f>"5"</f>
        <v>5</v>
      </c>
      <c r="J300" s="2">
        <v>45923</v>
      </c>
      <c r="K300" s="1" t="s">
        <v>1146</v>
      </c>
    </row>
    <row r="301" spans="1:11" x14ac:dyDescent="0.35">
      <c r="A301" s="3" t="s">
        <v>806</v>
      </c>
      <c r="B301" s="1" t="s">
        <v>1079</v>
      </c>
      <c r="C301" s="1" t="s">
        <v>1150</v>
      </c>
      <c r="D301" s="1" t="str">
        <f>"5120"</f>
        <v>5120</v>
      </c>
      <c r="E301" s="1" t="s">
        <v>1029</v>
      </c>
      <c r="F301" s="1" t="s">
        <v>1030</v>
      </c>
      <c r="G301" s="3" t="s">
        <v>15</v>
      </c>
      <c r="H301" s="3" t="str">
        <f>"4"</f>
        <v>4</v>
      </c>
      <c r="I301" s="4" t="str">
        <f>"5"</f>
        <v>5</v>
      </c>
      <c r="J301" s="2">
        <v>45923</v>
      </c>
      <c r="K301" s="1" t="s">
        <v>1146</v>
      </c>
    </row>
    <row r="302" spans="1:11" x14ac:dyDescent="0.35">
      <c r="A302" s="3" t="s">
        <v>806</v>
      </c>
      <c r="B302" s="1" t="s">
        <v>1079</v>
      </c>
      <c r="C302" s="1" t="s">
        <v>1151</v>
      </c>
      <c r="D302" s="1" t="str">
        <f>"5120"</f>
        <v>5120</v>
      </c>
      <c r="E302" s="1" t="s">
        <v>1029</v>
      </c>
      <c r="F302" s="1" t="s">
        <v>1030</v>
      </c>
      <c r="G302" s="3" t="s">
        <v>15</v>
      </c>
      <c r="H302" s="3" t="str">
        <f>"3"</f>
        <v>3</v>
      </c>
      <c r="I302" s="4" t="str">
        <f>"5"</f>
        <v>5</v>
      </c>
      <c r="J302" s="2">
        <v>45923</v>
      </c>
      <c r="K302" s="1" t="s">
        <v>1146</v>
      </c>
    </row>
    <row r="303" spans="1:11" x14ac:dyDescent="0.35">
      <c r="A303" s="3" t="s">
        <v>806</v>
      </c>
      <c r="B303" s="1" t="s">
        <v>1079</v>
      </c>
      <c r="C303" s="1" t="s">
        <v>1192</v>
      </c>
      <c r="D303" s="1" t="str">
        <f>"6117"</f>
        <v>6117</v>
      </c>
      <c r="E303" s="1" t="s">
        <v>1193</v>
      </c>
      <c r="F303" s="1" t="s">
        <v>1194</v>
      </c>
      <c r="G303" s="3" t="s">
        <v>15</v>
      </c>
      <c r="H303" s="3" t="str">
        <f>"43"</f>
        <v>43</v>
      </c>
      <c r="I303" s="4" t="str">
        <f>"300"</f>
        <v>300</v>
      </c>
      <c r="J303" s="2">
        <v>45923</v>
      </c>
      <c r="K303" s="1" t="s">
        <v>1195</v>
      </c>
    </row>
    <row r="304" spans="1:11" x14ac:dyDescent="0.35">
      <c r="A304" s="3" t="s">
        <v>806</v>
      </c>
      <c r="B304" s="1" t="s">
        <v>1079</v>
      </c>
      <c r="C304" s="1" t="s">
        <v>1226</v>
      </c>
      <c r="D304" s="1" t="str">
        <f>"7220"</f>
        <v>7220</v>
      </c>
      <c r="E304" s="1" t="s">
        <v>1227</v>
      </c>
      <c r="F304" s="1" t="s">
        <v>1228</v>
      </c>
      <c r="G304" s="3" t="s">
        <v>15</v>
      </c>
      <c r="H304" s="3" t="str">
        <f>"156"</f>
        <v>156</v>
      </c>
      <c r="I304" s="4" t="str">
        <f>"5"</f>
        <v>5</v>
      </c>
      <c r="J304" s="2">
        <v>45923</v>
      </c>
      <c r="K304" s="1" t="s">
        <v>1229</v>
      </c>
    </row>
    <row r="305" spans="1:11" x14ac:dyDescent="0.35">
      <c r="A305" s="3" t="s">
        <v>806</v>
      </c>
      <c r="B305" s="1" t="s">
        <v>1079</v>
      </c>
      <c r="C305" s="1" t="s">
        <v>1230</v>
      </c>
      <c r="D305" s="1" t="str">
        <f>"7240"</f>
        <v>7240</v>
      </c>
      <c r="E305" s="1" t="str">
        <f>"000606006"</f>
        <v>000606006</v>
      </c>
      <c r="F305" s="1" t="s">
        <v>1231</v>
      </c>
      <c r="G305" s="3" t="s">
        <v>15</v>
      </c>
      <c r="H305" s="3" t="str">
        <f>"10"</f>
        <v>10</v>
      </c>
      <c r="I305" s="4">
        <v>8.94</v>
      </c>
      <c r="J305" s="2">
        <v>45923</v>
      </c>
      <c r="K305" s="1" t="s">
        <v>1232</v>
      </c>
    </row>
    <row r="306" spans="1:11" x14ac:dyDescent="0.35">
      <c r="A306" s="3" t="s">
        <v>806</v>
      </c>
      <c r="B306" s="1" t="s">
        <v>1079</v>
      </c>
      <c r="C306" s="1" t="s">
        <v>1288</v>
      </c>
      <c r="D306" s="1" t="str">
        <f>"8465"</f>
        <v>8465</v>
      </c>
      <c r="E306" s="1" t="str">
        <f>"013936515"</f>
        <v>013936515</v>
      </c>
      <c r="F306" s="1" t="s">
        <v>849</v>
      </c>
      <c r="G306" s="3" t="s">
        <v>15</v>
      </c>
      <c r="H306" s="3" t="str">
        <f>"5"</f>
        <v>5</v>
      </c>
      <c r="I306" s="4">
        <v>56.45</v>
      </c>
      <c r="J306" s="2">
        <v>45923</v>
      </c>
      <c r="K306" s="1" t="s">
        <v>1289</v>
      </c>
    </row>
    <row r="307" spans="1:11" x14ac:dyDescent="0.35">
      <c r="A307" s="3" t="s">
        <v>806</v>
      </c>
      <c r="B307" s="1" t="s">
        <v>1079</v>
      </c>
      <c r="C307" s="1" t="s">
        <v>1302</v>
      </c>
      <c r="D307" s="1" t="str">
        <f>"9515"</f>
        <v>9515</v>
      </c>
      <c r="E307" s="1" t="str">
        <f>"002043971"</f>
        <v>002043971</v>
      </c>
      <c r="F307" s="1" t="s">
        <v>1303</v>
      </c>
      <c r="G307" s="3" t="s">
        <v>1120</v>
      </c>
      <c r="H307" s="3" t="str">
        <f>"3374"</f>
        <v>3374</v>
      </c>
      <c r="I307" s="4">
        <v>0.59</v>
      </c>
      <c r="J307" s="2">
        <v>45923</v>
      </c>
      <c r="K307" s="1" t="s">
        <v>1304</v>
      </c>
    </row>
    <row r="308" spans="1:11" x14ac:dyDescent="0.35">
      <c r="A308" s="3" t="s">
        <v>806</v>
      </c>
      <c r="B308" s="1" t="s">
        <v>1079</v>
      </c>
      <c r="C308" s="1" t="s">
        <v>1307</v>
      </c>
      <c r="D308" s="1" t="str">
        <f>"9540"</f>
        <v>9540</v>
      </c>
      <c r="E308" s="1" t="str">
        <f>"002501063"</f>
        <v>002501063</v>
      </c>
      <c r="F308" s="1" t="s">
        <v>1308</v>
      </c>
      <c r="G308" s="3" t="s">
        <v>1120</v>
      </c>
      <c r="H308" s="3" t="str">
        <f>"87"</f>
        <v>87</v>
      </c>
      <c r="I308" s="4">
        <v>12.79</v>
      </c>
      <c r="J308" s="2">
        <v>45923</v>
      </c>
      <c r="K308" s="1" t="s">
        <v>1309</v>
      </c>
    </row>
    <row r="309" spans="1:11" x14ac:dyDescent="0.35">
      <c r="A309" s="3" t="s">
        <v>806</v>
      </c>
      <c r="B309" s="1" t="s">
        <v>1079</v>
      </c>
      <c r="C309" s="1" t="s">
        <v>1315</v>
      </c>
      <c r="D309" s="1" t="str">
        <f>"9930"</f>
        <v>9930</v>
      </c>
      <c r="E309" s="1" t="str">
        <f>"013316244"</f>
        <v>013316244</v>
      </c>
      <c r="F309" s="1" t="s">
        <v>1311</v>
      </c>
      <c r="G309" s="3" t="s">
        <v>15</v>
      </c>
      <c r="H309" s="3" t="str">
        <f>"4"</f>
        <v>4</v>
      </c>
      <c r="I309" s="4">
        <v>58.03</v>
      </c>
      <c r="J309" s="2">
        <v>45923</v>
      </c>
      <c r="K309" s="1" t="s">
        <v>1316</v>
      </c>
    </row>
    <row r="310" spans="1:11" x14ac:dyDescent="0.35">
      <c r="A310" s="3" t="s">
        <v>806</v>
      </c>
      <c r="B310" s="1" t="s">
        <v>870</v>
      </c>
      <c r="C310" s="1" t="s">
        <v>920</v>
      </c>
      <c r="D310" s="1" t="str">
        <f>"8465"</f>
        <v>8465</v>
      </c>
      <c r="E310" s="1" t="str">
        <f>"015245250"</f>
        <v>015245250</v>
      </c>
      <c r="F310" s="1" t="s">
        <v>921</v>
      </c>
      <c r="G310" s="3" t="s">
        <v>15</v>
      </c>
      <c r="H310" s="3" t="str">
        <f>"100"</f>
        <v>100</v>
      </c>
      <c r="I310" s="4">
        <v>78.14</v>
      </c>
      <c r="J310" s="2">
        <v>45922</v>
      </c>
      <c r="K310" s="1" t="s">
        <v>922</v>
      </c>
    </row>
    <row r="311" spans="1:11" x14ac:dyDescent="0.35">
      <c r="A311" s="3" t="s">
        <v>806</v>
      </c>
      <c r="B311" s="1" t="s">
        <v>870</v>
      </c>
      <c r="C311" s="1" t="s">
        <v>923</v>
      </c>
      <c r="D311" s="1" t="str">
        <f>"8465"</f>
        <v>8465</v>
      </c>
      <c r="E311" s="1" t="str">
        <f>"016416353"</f>
        <v>016416353</v>
      </c>
      <c r="F311" s="1" t="s">
        <v>637</v>
      </c>
      <c r="G311" s="3" t="s">
        <v>58</v>
      </c>
      <c r="H311" s="3" t="str">
        <f>"51"</f>
        <v>51</v>
      </c>
      <c r="I311" s="4">
        <v>234.01</v>
      </c>
      <c r="J311" s="2">
        <v>45922</v>
      </c>
      <c r="K311" s="1" t="s">
        <v>922</v>
      </c>
    </row>
    <row r="312" spans="1:11" x14ac:dyDescent="0.35">
      <c r="A312" s="3" t="s">
        <v>806</v>
      </c>
      <c r="B312" s="1" t="s">
        <v>870</v>
      </c>
      <c r="C312" s="1" t="s">
        <v>924</v>
      </c>
      <c r="D312" s="1" t="str">
        <f>"8465"</f>
        <v>8465</v>
      </c>
      <c r="E312" s="1" t="str">
        <f>"016007830"</f>
        <v>016007830</v>
      </c>
      <c r="F312" s="1" t="s">
        <v>303</v>
      </c>
      <c r="G312" s="3" t="s">
        <v>15</v>
      </c>
      <c r="H312" s="3" t="str">
        <f>"290"</f>
        <v>290</v>
      </c>
      <c r="I312" s="4">
        <v>128.33000000000001</v>
      </c>
      <c r="J312" s="2">
        <v>45922</v>
      </c>
      <c r="K312" s="1" t="s">
        <v>922</v>
      </c>
    </row>
    <row r="313" spans="1:11" x14ac:dyDescent="0.35">
      <c r="A313" s="3" t="s">
        <v>806</v>
      </c>
      <c r="B313" s="1" t="s">
        <v>870</v>
      </c>
      <c r="C313" s="1" t="s">
        <v>928</v>
      </c>
      <c r="D313" s="1" t="str">
        <f>"8465"</f>
        <v>8465</v>
      </c>
      <c r="E313" s="1" t="str">
        <f>"015245250"</f>
        <v>015245250</v>
      </c>
      <c r="F313" s="1" t="s">
        <v>921</v>
      </c>
      <c r="G313" s="3" t="s">
        <v>15</v>
      </c>
      <c r="H313" s="3" t="str">
        <f>"100"</f>
        <v>100</v>
      </c>
      <c r="I313" s="4">
        <v>78.14</v>
      </c>
      <c r="J313" s="2">
        <v>45922</v>
      </c>
      <c r="K313" s="1" t="s">
        <v>922</v>
      </c>
    </row>
    <row r="314" spans="1:11" x14ac:dyDescent="0.35">
      <c r="A314" s="3" t="s">
        <v>806</v>
      </c>
      <c r="B314" s="1" t="s">
        <v>870</v>
      </c>
      <c r="C314" s="1" t="s">
        <v>936</v>
      </c>
      <c r="D314" s="1" t="str">
        <f>"8465"</f>
        <v>8465</v>
      </c>
      <c r="E314" s="1" t="str">
        <f>"015245250"</f>
        <v>015245250</v>
      </c>
      <c r="F314" s="1" t="s">
        <v>921</v>
      </c>
      <c r="G314" s="3" t="s">
        <v>15</v>
      </c>
      <c r="H314" s="3" t="str">
        <f>"80"</f>
        <v>80</v>
      </c>
      <c r="I314" s="4">
        <v>78.14</v>
      </c>
      <c r="J314" s="2">
        <v>45922</v>
      </c>
      <c r="K314" s="1" t="s">
        <v>922</v>
      </c>
    </row>
    <row r="315" spans="1:11" x14ac:dyDescent="0.35">
      <c r="A315" s="3" t="s">
        <v>806</v>
      </c>
      <c r="B315" s="1" t="s">
        <v>870</v>
      </c>
      <c r="C315" s="1" t="s">
        <v>937</v>
      </c>
      <c r="D315" s="1" t="str">
        <f>"8465"</f>
        <v>8465</v>
      </c>
      <c r="E315" s="1" t="str">
        <f>"015851512"</f>
        <v>015851512</v>
      </c>
      <c r="F315" s="1" t="s">
        <v>57</v>
      </c>
      <c r="G315" s="3" t="s">
        <v>58</v>
      </c>
      <c r="H315" s="3" t="str">
        <f>"56"</f>
        <v>56</v>
      </c>
      <c r="I315" s="4">
        <v>120.52</v>
      </c>
      <c r="J315" s="2">
        <v>45922</v>
      </c>
      <c r="K315" s="1" t="s">
        <v>922</v>
      </c>
    </row>
    <row r="316" spans="1:11" x14ac:dyDescent="0.35">
      <c r="A316" s="3" t="s">
        <v>806</v>
      </c>
      <c r="B316" s="1" t="s">
        <v>859</v>
      </c>
      <c r="C316" s="1" t="s">
        <v>862</v>
      </c>
      <c r="D316" s="1" t="str">
        <f>"7010"</f>
        <v>7010</v>
      </c>
      <c r="E316" s="1" t="s">
        <v>863</v>
      </c>
      <c r="F316" s="1" t="s">
        <v>864</v>
      </c>
      <c r="G316" s="3" t="s">
        <v>15</v>
      </c>
      <c r="H316" s="3" t="str">
        <f>"55"</f>
        <v>55</v>
      </c>
      <c r="I316" s="4" t="str">
        <f>"500"</f>
        <v>500</v>
      </c>
      <c r="J316" s="2">
        <v>45918</v>
      </c>
      <c r="K316" s="1" t="s">
        <v>865</v>
      </c>
    </row>
    <row r="317" spans="1:11" x14ac:dyDescent="0.35">
      <c r="A317" s="3" t="s">
        <v>806</v>
      </c>
      <c r="B317" s="1" t="s">
        <v>870</v>
      </c>
      <c r="C317" s="1" t="s">
        <v>880</v>
      </c>
      <c r="D317" s="1" t="str">
        <f>"6545"</f>
        <v>6545</v>
      </c>
      <c r="E317" s="1" t="str">
        <f>"015300929"</f>
        <v>015300929</v>
      </c>
      <c r="F317" s="1" t="s">
        <v>293</v>
      </c>
      <c r="G317" s="3" t="s">
        <v>19</v>
      </c>
      <c r="H317" s="3" t="str">
        <f>"201"</f>
        <v>201</v>
      </c>
      <c r="I317" s="4">
        <v>62.81</v>
      </c>
      <c r="J317" s="2">
        <v>45916</v>
      </c>
      <c r="K317" s="1" t="s">
        <v>881</v>
      </c>
    </row>
    <row r="318" spans="1:11" x14ac:dyDescent="0.35">
      <c r="A318" s="3" t="s">
        <v>806</v>
      </c>
      <c r="B318" s="1" t="s">
        <v>1079</v>
      </c>
      <c r="C318" s="1" t="s">
        <v>1086</v>
      </c>
      <c r="D318" s="1" t="str">
        <f>"3446"</f>
        <v>3446</v>
      </c>
      <c r="E318" s="1" t="str">
        <f>"001963905"</f>
        <v>001963905</v>
      </c>
      <c r="F318" s="1" t="s">
        <v>1087</v>
      </c>
      <c r="G318" s="3" t="s">
        <v>19</v>
      </c>
      <c r="H318" s="3" t="str">
        <f>"2"</f>
        <v>2</v>
      </c>
      <c r="I318" s="4">
        <v>9216.39</v>
      </c>
      <c r="J318" s="2">
        <v>45912</v>
      </c>
      <c r="K318" s="1" t="s">
        <v>1088</v>
      </c>
    </row>
    <row r="319" spans="1:11" x14ac:dyDescent="0.35">
      <c r="A319" s="3" t="s">
        <v>806</v>
      </c>
      <c r="B319" s="1" t="s">
        <v>1079</v>
      </c>
      <c r="C319" s="1" t="s">
        <v>1089</v>
      </c>
      <c r="D319" s="1" t="str">
        <f>"3740"</f>
        <v>3740</v>
      </c>
      <c r="E319" s="1" t="str">
        <f>"014630147"</f>
        <v>014630147</v>
      </c>
      <c r="F319" s="1" t="s">
        <v>1090</v>
      </c>
      <c r="G319" s="3" t="s">
        <v>15</v>
      </c>
      <c r="H319" s="3" t="str">
        <f>"6"</f>
        <v>6</v>
      </c>
      <c r="I319" s="4">
        <v>1287.3499999999999</v>
      </c>
      <c r="J319" s="2">
        <v>45912</v>
      </c>
      <c r="K319" s="1" t="s">
        <v>1091</v>
      </c>
    </row>
    <row r="320" spans="1:11" x14ac:dyDescent="0.35">
      <c r="A320" s="3" t="s">
        <v>806</v>
      </c>
      <c r="B320" s="1" t="s">
        <v>1079</v>
      </c>
      <c r="C320" s="1" t="s">
        <v>1096</v>
      </c>
      <c r="D320" s="1" t="str">
        <f>"4110"</f>
        <v>4110</v>
      </c>
      <c r="E320" s="1" t="str">
        <f>"014404404"</f>
        <v>014404404</v>
      </c>
      <c r="F320" s="1" t="s">
        <v>1097</v>
      </c>
      <c r="G320" s="3" t="s">
        <v>15</v>
      </c>
      <c r="H320" s="3" t="str">
        <f>"7"</f>
        <v>7</v>
      </c>
      <c r="I320" s="4">
        <v>64.55</v>
      </c>
      <c r="J320" s="2">
        <v>45912</v>
      </c>
      <c r="K320" s="1" t="s">
        <v>1098</v>
      </c>
    </row>
    <row r="321" spans="1:11" x14ac:dyDescent="0.35">
      <c r="A321" s="3" t="s">
        <v>806</v>
      </c>
      <c r="B321" s="1" t="s">
        <v>1079</v>
      </c>
      <c r="C321" s="1" t="s">
        <v>1099</v>
      </c>
      <c r="D321" s="1" t="str">
        <f>"4240"</f>
        <v>4240</v>
      </c>
      <c r="E321" s="1" t="str">
        <f>"015740491"</f>
        <v>015740491</v>
      </c>
      <c r="F321" s="1" t="s">
        <v>1100</v>
      </c>
      <c r="G321" s="3" t="s">
        <v>15</v>
      </c>
      <c r="H321" s="3" t="str">
        <f>"1"</f>
        <v>1</v>
      </c>
      <c r="I321" s="4">
        <v>414.13</v>
      </c>
      <c r="J321" s="2">
        <v>45912</v>
      </c>
      <c r="K321" s="1" t="s">
        <v>1101</v>
      </c>
    </row>
    <row r="322" spans="1:11" x14ac:dyDescent="0.35">
      <c r="A322" s="3" t="s">
        <v>806</v>
      </c>
      <c r="B322" s="1" t="s">
        <v>1079</v>
      </c>
      <c r="C322" s="1" t="s">
        <v>1110</v>
      </c>
      <c r="D322" s="1" t="str">
        <f>"4240"</f>
        <v>4240</v>
      </c>
      <c r="E322" s="1" t="str">
        <f>"015475927"</f>
        <v>015475927</v>
      </c>
      <c r="F322" s="1" t="s">
        <v>1111</v>
      </c>
      <c r="G322" s="3" t="s">
        <v>15</v>
      </c>
      <c r="H322" s="3" t="str">
        <f>"25"</f>
        <v>25</v>
      </c>
      <c r="I322" s="4">
        <v>157.21</v>
      </c>
      <c r="J322" s="2">
        <v>45912</v>
      </c>
      <c r="K322" s="1" t="s">
        <v>1112</v>
      </c>
    </row>
    <row r="323" spans="1:11" x14ac:dyDescent="0.35">
      <c r="A323" s="3" t="s">
        <v>806</v>
      </c>
      <c r="B323" s="1" t="s">
        <v>1079</v>
      </c>
      <c r="C323" s="1" t="s">
        <v>1136</v>
      </c>
      <c r="D323" s="1" t="str">
        <f>"5120"</f>
        <v>5120</v>
      </c>
      <c r="E323" s="1" t="str">
        <f>"008213441"</f>
        <v>008213441</v>
      </c>
      <c r="F323" s="1" t="s">
        <v>949</v>
      </c>
      <c r="G323" s="3" t="s">
        <v>15</v>
      </c>
      <c r="H323" s="3" t="str">
        <f>"1"</f>
        <v>1</v>
      </c>
      <c r="I323" s="4">
        <v>60.41</v>
      </c>
      <c r="J323" s="2">
        <v>45912</v>
      </c>
      <c r="K323" s="1" t="s">
        <v>1137</v>
      </c>
    </row>
    <row r="324" spans="1:11" x14ac:dyDescent="0.35">
      <c r="A324" s="3" t="s">
        <v>806</v>
      </c>
      <c r="B324" s="1" t="s">
        <v>1079</v>
      </c>
      <c r="C324" s="1" t="s">
        <v>1138</v>
      </c>
      <c r="D324" s="1" t="str">
        <f>"5120"</f>
        <v>5120</v>
      </c>
      <c r="E324" s="1" t="s">
        <v>1139</v>
      </c>
      <c r="F324" s="1" t="s">
        <v>1140</v>
      </c>
      <c r="G324" s="3" t="s">
        <v>15</v>
      </c>
      <c r="H324" s="3" t="str">
        <f>"5"</f>
        <v>5</v>
      </c>
      <c r="I324" s="4" t="str">
        <f>"25"</f>
        <v>25</v>
      </c>
      <c r="J324" s="2">
        <v>45912</v>
      </c>
      <c r="K324" s="1" t="s">
        <v>1141</v>
      </c>
    </row>
    <row r="325" spans="1:11" x14ac:dyDescent="0.35">
      <c r="A325" s="3" t="s">
        <v>806</v>
      </c>
      <c r="B325" s="1" t="s">
        <v>1079</v>
      </c>
      <c r="C325" s="1" t="s">
        <v>1152</v>
      </c>
      <c r="D325" s="1" t="str">
        <f>"5120"</f>
        <v>5120</v>
      </c>
      <c r="E325" s="1" t="s">
        <v>1153</v>
      </c>
      <c r="F325" s="1" t="s">
        <v>1154</v>
      </c>
      <c r="G325" s="3" t="s">
        <v>15</v>
      </c>
      <c r="H325" s="3" t="str">
        <f>"1"</f>
        <v>1</v>
      </c>
      <c r="I325" s="4" t="str">
        <f>"10"</f>
        <v>10</v>
      </c>
      <c r="J325" s="2">
        <v>45912</v>
      </c>
      <c r="K325" s="1" t="s">
        <v>1155</v>
      </c>
    </row>
    <row r="326" spans="1:11" x14ac:dyDescent="0.35">
      <c r="A326" s="3" t="s">
        <v>806</v>
      </c>
      <c r="B326" s="1" t="s">
        <v>1079</v>
      </c>
      <c r="C326" s="1" t="s">
        <v>1162</v>
      </c>
      <c r="D326" s="1" t="str">
        <f>"5130"</f>
        <v>5130</v>
      </c>
      <c r="E326" s="1" t="str">
        <f>"003575136"</f>
        <v>003575136</v>
      </c>
      <c r="F326" s="1" t="s">
        <v>1163</v>
      </c>
      <c r="G326" s="3" t="s">
        <v>58</v>
      </c>
      <c r="H326" s="3" t="str">
        <f>"2"</f>
        <v>2</v>
      </c>
      <c r="I326" s="4">
        <v>863.57</v>
      </c>
      <c r="J326" s="2">
        <v>45912</v>
      </c>
      <c r="K326" s="1" t="s">
        <v>1164</v>
      </c>
    </row>
    <row r="327" spans="1:11" x14ac:dyDescent="0.35">
      <c r="A327" s="3" t="s">
        <v>806</v>
      </c>
      <c r="B327" s="1" t="s">
        <v>1079</v>
      </c>
      <c r="C327" s="1" t="s">
        <v>1170</v>
      </c>
      <c r="D327" s="1" t="str">
        <f>"5180"</f>
        <v>5180</v>
      </c>
      <c r="E327" s="1" t="str">
        <f>"014289280"</f>
        <v>014289280</v>
      </c>
      <c r="F327" s="1" t="s">
        <v>1171</v>
      </c>
      <c r="G327" s="3" t="s">
        <v>19</v>
      </c>
      <c r="H327" s="3" t="str">
        <f>"2"</f>
        <v>2</v>
      </c>
      <c r="I327" s="4">
        <v>175.99</v>
      </c>
      <c r="J327" s="2">
        <v>45912</v>
      </c>
      <c r="K327" s="1" t="s">
        <v>1172</v>
      </c>
    </row>
    <row r="328" spans="1:11" x14ac:dyDescent="0.35">
      <c r="A328" s="3" t="s">
        <v>806</v>
      </c>
      <c r="B328" s="1" t="s">
        <v>1079</v>
      </c>
      <c r="C328" s="1" t="s">
        <v>1186</v>
      </c>
      <c r="D328" s="1" t="str">
        <f>"5340"</f>
        <v>5340</v>
      </c>
      <c r="E328" s="1" t="str">
        <f>"015981949"</f>
        <v>015981949</v>
      </c>
      <c r="F328" s="1" t="s">
        <v>1187</v>
      </c>
      <c r="G328" s="3" t="s">
        <v>15</v>
      </c>
      <c r="H328" s="3" t="str">
        <f>"1"</f>
        <v>1</v>
      </c>
      <c r="I328" s="4">
        <v>93.56</v>
      </c>
      <c r="J328" s="2">
        <v>45912</v>
      </c>
      <c r="K328" s="1" t="s">
        <v>1188</v>
      </c>
    </row>
    <row r="329" spans="1:11" x14ac:dyDescent="0.35">
      <c r="A329" s="3" t="s">
        <v>806</v>
      </c>
      <c r="B329" s="1" t="s">
        <v>1079</v>
      </c>
      <c r="C329" s="1" t="s">
        <v>1189</v>
      </c>
      <c r="D329" s="1" t="str">
        <f>"5350"</f>
        <v>5350</v>
      </c>
      <c r="E329" s="1" t="str">
        <f>"002717930"</f>
        <v>002717930</v>
      </c>
      <c r="F329" s="1" t="s">
        <v>1190</v>
      </c>
      <c r="G329" s="3" t="s">
        <v>1084</v>
      </c>
      <c r="H329" s="3" t="str">
        <f>"22"</f>
        <v>22</v>
      </c>
      <c r="I329" s="4">
        <v>71.010000000000005</v>
      </c>
      <c r="J329" s="2">
        <v>45912</v>
      </c>
      <c r="K329" s="1" t="s">
        <v>1191</v>
      </c>
    </row>
    <row r="330" spans="1:11" x14ac:dyDescent="0.35">
      <c r="A330" s="3" t="s">
        <v>806</v>
      </c>
      <c r="B330" s="1" t="s">
        <v>1079</v>
      </c>
      <c r="C330" s="1" t="s">
        <v>1201</v>
      </c>
      <c r="D330" s="1" t="str">
        <f>"6230"</f>
        <v>6230</v>
      </c>
      <c r="E330" s="1" t="str">
        <f>"015288713"</f>
        <v>015288713</v>
      </c>
      <c r="F330" s="1" t="s">
        <v>1202</v>
      </c>
      <c r="G330" s="3" t="s">
        <v>15</v>
      </c>
      <c r="H330" s="3" t="str">
        <f>"8"</f>
        <v>8</v>
      </c>
      <c r="I330" s="4">
        <v>226.81</v>
      </c>
      <c r="J330" s="2">
        <v>45912</v>
      </c>
      <c r="K330" s="1" t="s">
        <v>1203</v>
      </c>
    </row>
    <row r="331" spans="1:11" x14ac:dyDescent="0.35">
      <c r="A331" s="3" t="s">
        <v>806</v>
      </c>
      <c r="B331" s="1" t="s">
        <v>1079</v>
      </c>
      <c r="C331" s="1" t="s">
        <v>1212</v>
      </c>
      <c r="D331" s="1" t="str">
        <f>"6515"</f>
        <v>6515</v>
      </c>
      <c r="E331" s="1" t="s">
        <v>1213</v>
      </c>
      <c r="F331" s="1" t="s">
        <v>1214</v>
      </c>
      <c r="G331" s="3" t="s">
        <v>290</v>
      </c>
      <c r="H331" s="3" t="str">
        <f>"17"</f>
        <v>17</v>
      </c>
      <c r="I331" s="4">
        <v>206.22</v>
      </c>
      <c r="J331" s="2">
        <v>45912</v>
      </c>
      <c r="K331" s="1" t="s">
        <v>1215</v>
      </c>
    </row>
    <row r="332" spans="1:11" x14ac:dyDescent="0.35">
      <c r="A332" s="3" t="s">
        <v>806</v>
      </c>
      <c r="B332" s="1" t="s">
        <v>1079</v>
      </c>
      <c r="C332" s="1" t="s">
        <v>1242</v>
      </c>
      <c r="D332" s="1" t="str">
        <f>"7920"</f>
        <v>7920</v>
      </c>
      <c r="E332" s="1" t="s">
        <v>1243</v>
      </c>
      <c r="F332" s="1" t="s">
        <v>1244</v>
      </c>
      <c r="G332" s="3" t="s">
        <v>15</v>
      </c>
      <c r="H332" s="3" t="str">
        <f>"8"</f>
        <v>8</v>
      </c>
      <c r="I332" s="4" t="str">
        <f>"10"</f>
        <v>10</v>
      </c>
      <c r="J332" s="2">
        <v>45912</v>
      </c>
      <c r="K332" s="1" t="s">
        <v>1245</v>
      </c>
    </row>
    <row r="333" spans="1:11" x14ac:dyDescent="0.35">
      <c r="A333" s="3" t="s">
        <v>806</v>
      </c>
      <c r="B333" s="1" t="s">
        <v>1079</v>
      </c>
      <c r="C333" s="1" t="s">
        <v>1274</v>
      </c>
      <c r="D333" s="1" t="str">
        <f>"8415"</f>
        <v>8415</v>
      </c>
      <c r="E333" s="1" t="str">
        <f>"010920039"</f>
        <v>010920039</v>
      </c>
      <c r="F333" s="1" t="s">
        <v>1275</v>
      </c>
      <c r="G333" s="3" t="s">
        <v>15</v>
      </c>
      <c r="H333" s="3" t="str">
        <f>"10"</f>
        <v>10</v>
      </c>
      <c r="I333" s="4">
        <v>16.57</v>
      </c>
      <c r="J333" s="2">
        <v>45912</v>
      </c>
      <c r="K333" s="1" t="s">
        <v>1276</v>
      </c>
    </row>
    <row r="334" spans="1:11" x14ac:dyDescent="0.35">
      <c r="A334" s="3" t="s">
        <v>806</v>
      </c>
      <c r="B334" s="1" t="s">
        <v>1079</v>
      </c>
      <c r="C334" s="1" t="s">
        <v>1292</v>
      </c>
      <c r="D334" s="1" t="str">
        <f>"9320"</f>
        <v>9320</v>
      </c>
      <c r="E334" s="1" t="str">
        <f>"010148683"</f>
        <v>010148683</v>
      </c>
      <c r="F334" s="1" t="s">
        <v>1293</v>
      </c>
      <c r="G334" s="3" t="s">
        <v>1294</v>
      </c>
      <c r="H334" s="3" t="str">
        <f>"41"</f>
        <v>41</v>
      </c>
      <c r="I334" s="4">
        <v>86.17</v>
      </c>
      <c r="J334" s="2">
        <v>45912</v>
      </c>
      <c r="K334" s="1" t="s">
        <v>1295</v>
      </c>
    </row>
    <row r="335" spans="1:11" x14ac:dyDescent="0.35">
      <c r="A335" s="3" t="s">
        <v>806</v>
      </c>
      <c r="B335" s="1" t="s">
        <v>1079</v>
      </c>
      <c r="C335" s="1" t="s">
        <v>1296</v>
      </c>
      <c r="D335" s="1" t="str">
        <f>"9510"</f>
        <v>9510</v>
      </c>
      <c r="E335" s="1" t="str">
        <f>"001890601"</f>
        <v>001890601</v>
      </c>
      <c r="F335" s="1" t="s">
        <v>1297</v>
      </c>
      <c r="G335" s="3" t="s">
        <v>1120</v>
      </c>
      <c r="H335" s="3" t="str">
        <f>"5"</f>
        <v>5</v>
      </c>
      <c r="I335" s="4">
        <v>89.99</v>
      </c>
      <c r="J335" s="2">
        <v>45912</v>
      </c>
      <c r="K335" s="1" t="s">
        <v>1298</v>
      </c>
    </row>
    <row r="336" spans="1:11" x14ac:dyDescent="0.35">
      <c r="A336" s="3" t="s">
        <v>806</v>
      </c>
      <c r="B336" s="1" t="s">
        <v>1079</v>
      </c>
      <c r="C336" s="1" t="s">
        <v>1305</v>
      </c>
      <c r="D336" s="1" t="str">
        <f>"9530"</f>
        <v>9530</v>
      </c>
      <c r="E336" s="1" t="str">
        <f>"002361354"</f>
        <v>002361354</v>
      </c>
      <c r="F336" s="1" t="s">
        <v>1297</v>
      </c>
      <c r="G336" s="3" t="s">
        <v>1120</v>
      </c>
      <c r="H336" s="3" t="str">
        <f>"6"</f>
        <v>6</v>
      </c>
      <c r="I336" s="4">
        <v>57.17</v>
      </c>
      <c r="J336" s="2">
        <v>45912</v>
      </c>
      <c r="K336" s="1" t="s">
        <v>1306</v>
      </c>
    </row>
    <row r="337" spans="1:11" x14ac:dyDescent="0.35">
      <c r="A337" s="3" t="s">
        <v>806</v>
      </c>
      <c r="B337" s="1" t="s">
        <v>866</v>
      </c>
      <c r="C337" s="1" t="s">
        <v>867</v>
      </c>
      <c r="D337" s="1" t="str">
        <f>"1240"</f>
        <v>1240</v>
      </c>
      <c r="E337" s="1" t="str">
        <f>"015751099"</f>
        <v>015751099</v>
      </c>
      <c r="F337" s="1" t="s">
        <v>868</v>
      </c>
      <c r="G337" s="3" t="s">
        <v>15</v>
      </c>
      <c r="H337" s="3" t="str">
        <f>"44"</f>
        <v>44</v>
      </c>
      <c r="I337" s="4" t="str">
        <f>"1055"</f>
        <v>1055</v>
      </c>
      <c r="J337" s="2">
        <v>45908</v>
      </c>
      <c r="K337" s="1" t="s">
        <v>869</v>
      </c>
    </row>
    <row r="338" spans="1:11" x14ac:dyDescent="0.35">
      <c r="A338" s="3" t="s">
        <v>806</v>
      </c>
      <c r="B338" s="1" t="s">
        <v>814</v>
      </c>
      <c r="C338" s="1" t="s">
        <v>815</v>
      </c>
      <c r="D338" s="1" t="str">
        <f>"6110"</f>
        <v>6110</v>
      </c>
      <c r="E338" s="1" t="str">
        <f>"015894243"</f>
        <v>015894243</v>
      </c>
      <c r="F338" s="1" t="s">
        <v>816</v>
      </c>
      <c r="G338" s="3" t="s">
        <v>15</v>
      </c>
      <c r="H338" s="3" t="str">
        <f>"1"</f>
        <v>1</v>
      </c>
      <c r="I338" s="4">
        <v>1506.89</v>
      </c>
      <c r="J338" s="2">
        <v>45903</v>
      </c>
      <c r="K338" s="1" t="s">
        <v>817</v>
      </c>
    </row>
    <row r="339" spans="1:11" x14ac:dyDescent="0.35">
      <c r="A339" s="3" t="s">
        <v>806</v>
      </c>
      <c r="B339" s="1" t="s">
        <v>1079</v>
      </c>
      <c r="C339" s="1" t="s">
        <v>1176</v>
      </c>
      <c r="D339" s="1" t="str">
        <f>"5180"</f>
        <v>5180</v>
      </c>
      <c r="E339" s="1" t="s">
        <v>1177</v>
      </c>
      <c r="F339" s="1" t="s">
        <v>1178</v>
      </c>
      <c r="G339" s="3" t="s">
        <v>15</v>
      </c>
      <c r="H339" s="3" t="str">
        <f>"4"</f>
        <v>4</v>
      </c>
      <c r="I339" s="4">
        <v>1970.72</v>
      </c>
      <c r="J339" s="2">
        <v>45903</v>
      </c>
      <c r="K339" s="1" t="s">
        <v>1179</v>
      </c>
    </row>
    <row r="340" spans="1:11" x14ac:dyDescent="0.35">
      <c r="A340" s="3" t="s">
        <v>806</v>
      </c>
      <c r="B340" s="1" t="s">
        <v>870</v>
      </c>
      <c r="C340" s="1" t="s">
        <v>874</v>
      </c>
      <c r="D340" s="1" t="str">
        <f>"4240"</f>
        <v>4240</v>
      </c>
      <c r="E340" s="1" t="str">
        <f>"015700319"</f>
        <v>015700319</v>
      </c>
      <c r="F340" s="1" t="s">
        <v>830</v>
      </c>
      <c r="G340" s="3" t="s">
        <v>15</v>
      </c>
      <c r="H340" s="3" t="str">
        <f>"40"</f>
        <v>40</v>
      </c>
      <c r="I340" s="4">
        <v>39.07</v>
      </c>
      <c r="J340" s="2">
        <v>45897</v>
      </c>
      <c r="K340" s="1" t="s">
        <v>875</v>
      </c>
    </row>
    <row r="341" spans="1:11" x14ac:dyDescent="0.35">
      <c r="A341" s="3" t="s">
        <v>806</v>
      </c>
      <c r="B341" s="1" t="s">
        <v>870</v>
      </c>
      <c r="C341" s="1" t="s">
        <v>888</v>
      </c>
      <c r="D341" s="1" t="str">
        <f>"7490"</f>
        <v>7490</v>
      </c>
      <c r="E341" s="1" t="str">
        <f>"016972922"</f>
        <v>016972922</v>
      </c>
      <c r="F341" s="1" t="s">
        <v>889</v>
      </c>
      <c r="G341" s="3" t="s">
        <v>15</v>
      </c>
      <c r="H341" s="3" t="str">
        <f>"1"</f>
        <v>1</v>
      </c>
      <c r="I341" s="4">
        <v>26332.7</v>
      </c>
      <c r="J341" s="2">
        <v>45897</v>
      </c>
      <c r="K341" s="1" t="s">
        <v>890</v>
      </c>
    </row>
    <row r="342" spans="1:11" x14ac:dyDescent="0.35">
      <c r="A342" s="3" t="s">
        <v>806</v>
      </c>
      <c r="B342" s="1" t="s">
        <v>870</v>
      </c>
      <c r="C342" s="1" t="s">
        <v>900</v>
      </c>
      <c r="D342" s="1" t="str">
        <f>"8415"</f>
        <v>8415</v>
      </c>
      <c r="E342" s="1" t="str">
        <f>"015553826"</f>
        <v>015553826</v>
      </c>
      <c r="F342" s="1" t="s">
        <v>901</v>
      </c>
      <c r="G342" s="3" t="s">
        <v>847</v>
      </c>
      <c r="H342" s="3" t="str">
        <f>"187"</f>
        <v>187</v>
      </c>
      <c r="I342" s="4">
        <v>61.72</v>
      </c>
      <c r="J342" s="2">
        <v>45897</v>
      </c>
      <c r="K342" s="1" t="s">
        <v>902</v>
      </c>
    </row>
    <row r="343" spans="1:11" x14ac:dyDescent="0.35">
      <c r="A343" s="3" t="s">
        <v>806</v>
      </c>
      <c r="B343" s="1" t="s">
        <v>870</v>
      </c>
      <c r="C343" s="1" t="s">
        <v>903</v>
      </c>
      <c r="D343" s="1" t="str">
        <f>"8415"</f>
        <v>8415</v>
      </c>
      <c r="E343" s="1" t="str">
        <f>"015735055"</f>
        <v>015735055</v>
      </c>
      <c r="F343" s="1" t="s">
        <v>904</v>
      </c>
      <c r="G343" s="3" t="s">
        <v>15</v>
      </c>
      <c r="H343" s="3" t="str">
        <f>"136"</f>
        <v>136</v>
      </c>
      <c r="I343" s="4">
        <v>215.4</v>
      </c>
      <c r="J343" s="2">
        <v>45897</v>
      </c>
      <c r="K343" s="1" t="s">
        <v>905</v>
      </c>
    </row>
    <row r="344" spans="1:11" x14ac:dyDescent="0.35">
      <c r="A344" s="3" t="s">
        <v>806</v>
      </c>
      <c r="B344" s="1" t="s">
        <v>870</v>
      </c>
      <c r="C344" s="1" t="s">
        <v>906</v>
      </c>
      <c r="D344" s="1" t="str">
        <f>"8415"</f>
        <v>8415</v>
      </c>
      <c r="E344" s="1" t="str">
        <f>"015734802"</f>
        <v>015734802</v>
      </c>
      <c r="F344" s="1" t="s">
        <v>904</v>
      </c>
      <c r="G344" s="3" t="s">
        <v>15</v>
      </c>
      <c r="H344" s="3" t="str">
        <f>"164"</f>
        <v>164</v>
      </c>
      <c r="I344" s="4">
        <v>215.4</v>
      </c>
      <c r="J344" s="2">
        <v>45897</v>
      </c>
      <c r="K344" s="1" t="s">
        <v>905</v>
      </c>
    </row>
    <row r="345" spans="1:11" x14ac:dyDescent="0.35">
      <c r="A345" s="3" t="s">
        <v>806</v>
      </c>
      <c r="B345" s="1" t="s">
        <v>870</v>
      </c>
      <c r="C345" s="1" t="s">
        <v>907</v>
      </c>
      <c r="D345" s="1" t="str">
        <f>"8415"</f>
        <v>8415</v>
      </c>
      <c r="E345" s="1" t="str">
        <f>"015734985"</f>
        <v>015734985</v>
      </c>
      <c r="F345" s="1" t="s">
        <v>904</v>
      </c>
      <c r="G345" s="3" t="s">
        <v>15</v>
      </c>
      <c r="H345" s="3" t="str">
        <f>"244"</f>
        <v>244</v>
      </c>
      <c r="I345" s="4">
        <v>215.4</v>
      </c>
      <c r="J345" s="2">
        <v>45897</v>
      </c>
      <c r="K345" s="1" t="s">
        <v>905</v>
      </c>
    </row>
    <row r="346" spans="1:11" x14ac:dyDescent="0.35">
      <c r="A346" s="3" t="s">
        <v>806</v>
      </c>
      <c r="B346" s="1" t="s">
        <v>870</v>
      </c>
      <c r="C346" s="1" t="s">
        <v>908</v>
      </c>
      <c r="D346" s="1" t="str">
        <f>"8415"</f>
        <v>8415</v>
      </c>
      <c r="E346" s="1" t="str">
        <f>"015735036"</f>
        <v>015735036</v>
      </c>
      <c r="F346" s="1" t="s">
        <v>904</v>
      </c>
      <c r="G346" s="3" t="s">
        <v>15</v>
      </c>
      <c r="H346" s="3" t="str">
        <f>"185"</f>
        <v>185</v>
      </c>
      <c r="I346" s="4">
        <v>215.4</v>
      </c>
      <c r="J346" s="2">
        <v>45897</v>
      </c>
      <c r="K346" s="1" t="s">
        <v>905</v>
      </c>
    </row>
    <row r="347" spans="1:11" x14ac:dyDescent="0.35">
      <c r="A347" s="3" t="s">
        <v>806</v>
      </c>
      <c r="B347" s="1" t="s">
        <v>870</v>
      </c>
      <c r="C347" s="1" t="s">
        <v>909</v>
      </c>
      <c r="D347" s="1" t="str">
        <f>"8415"</f>
        <v>8415</v>
      </c>
      <c r="E347" s="1" t="str">
        <f>"015735051"</f>
        <v>015735051</v>
      </c>
      <c r="F347" s="1" t="s">
        <v>904</v>
      </c>
      <c r="G347" s="3" t="s">
        <v>15</v>
      </c>
      <c r="H347" s="3" t="str">
        <f>"147"</f>
        <v>147</v>
      </c>
      <c r="I347" s="4">
        <v>215.4</v>
      </c>
      <c r="J347" s="2">
        <v>45897</v>
      </c>
      <c r="K347" s="1" t="s">
        <v>905</v>
      </c>
    </row>
    <row r="348" spans="1:11" x14ac:dyDescent="0.35">
      <c r="A348" s="3" t="s">
        <v>806</v>
      </c>
      <c r="B348" s="1" t="s">
        <v>870</v>
      </c>
      <c r="C348" s="1" t="s">
        <v>930</v>
      </c>
      <c r="D348" s="1" t="str">
        <f>"8465"</f>
        <v>8465</v>
      </c>
      <c r="E348" s="1" t="str">
        <f>"015427688"</f>
        <v>015427688</v>
      </c>
      <c r="F348" s="1" t="s">
        <v>931</v>
      </c>
      <c r="G348" s="3" t="s">
        <v>15</v>
      </c>
      <c r="H348" s="3" t="str">
        <f>"55"</f>
        <v>55</v>
      </c>
      <c r="I348" s="4">
        <v>20.81</v>
      </c>
      <c r="J348" s="2">
        <v>45897</v>
      </c>
      <c r="K348" s="1" t="s">
        <v>932</v>
      </c>
    </row>
    <row r="349" spans="1:11" x14ac:dyDescent="0.35">
      <c r="A349" s="3" t="s">
        <v>806</v>
      </c>
      <c r="B349" s="1" t="s">
        <v>1079</v>
      </c>
      <c r="C349" s="1" t="s">
        <v>1147</v>
      </c>
      <c r="D349" s="1" t="str">
        <f>"5120"</f>
        <v>5120</v>
      </c>
      <c r="E349" s="1" t="str">
        <f>"002888739"</f>
        <v>002888739</v>
      </c>
      <c r="F349" s="1" t="s">
        <v>1148</v>
      </c>
      <c r="G349" s="3" t="s">
        <v>58</v>
      </c>
      <c r="H349" s="3" t="str">
        <f>"1"</f>
        <v>1</v>
      </c>
      <c r="I349" s="4">
        <v>20.73</v>
      </c>
      <c r="J349" s="2">
        <v>45895</v>
      </c>
      <c r="K349" s="1" t="s">
        <v>1149</v>
      </c>
    </row>
    <row r="350" spans="1:11" x14ac:dyDescent="0.35">
      <c r="A350" s="3" t="s">
        <v>806</v>
      </c>
      <c r="B350" s="1" t="s">
        <v>1079</v>
      </c>
      <c r="C350" s="1" t="s">
        <v>1196</v>
      </c>
      <c r="D350" s="1" t="str">
        <f>"6117"</f>
        <v>6117</v>
      </c>
      <c r="E350" s="1" t="s">
        <v>1193</v>
      </c>
      <c r="F350" s="1" t="s">
        <v>1194</v>
      </c>
      <c r="G350" s="3" t="s">
        <v>15</v>
      </c>
      <c r="H350" s="3" t="str">
        <f>"20"</f>
        <v>20</v>
      </c>
      <c r="I350" s="4" t="str">
        <f>"300"</f>
        <v>300</v>
      </c>
      <c r="J350" s="2">
        <v>45895</v>
      </c>
      <c r="K350" s="1" t="s">
        <v>1197</v>
      </c>
    </row>
    <row r="351" spans="1:11" x14ac:dyDescent="0.35">
      <c r="A351" s="3" t="s">
        <v>806</v>
      </c>
      <c r="B351" s="1" t="s">
        <v>1079</v>
      </c>
      <c r="C351" s="1" t="s">
        <v>1233</v>
      </c>
      <c r="D351" s="1" t="str">
        <f>"7520"</f>
        <v>7520</v>
      </c>
      <c r="E351" s="1" t="s">
        <v>1234</v>
      </c>
      <c r="F351" s="1" t="s">
        <v>1235</v>
      </c>
      <c r="G351" s="3" t="s">
        <v>15</v>
      </c>
      <c r="H351" s="3" t="str">
        <f>"20"</f>
        <v>20</v>
      </c>
      <c r="I351" s="4" t="str">
        <f>"8"</f>
        <v>8</v>
      </c>
      <c r="J351" s="2">
        <v>45895</v>
      </c>
      <c r="K351" s="1" t="s">
        <v>1236</v>
      </c>
    </row>
    <row r="352" spans="1:11" x14ac:dyDescent="0.35">
      <c r="A352" s="3" t="s">
        <v>806</v>
      </c>
      <c r="B352" s="1" t="s">
        <v>1079</v>
      </c>
      <c r="C352" s="1" t="s">
        <v>1246</v>
      </c>
      <c r="D352" s="1" t="str">
        <f>"8305"</f>
        <v>8305</v>
      </c>
      <c r="E352" s="1" t="str">
        <f>"015706655"</f>
        <v>015706655</v>
      </c>
      <c r="F352" s="1" t="s">
        <v>1247</v>
      </c>
      <c r="G352" s="3" t="s">
        <v>1248</v>
      </c>
      <c r="H352" s="3" t="str">
        <f>"25"</f>
        <v>25</v>
      </c>
      <c r="I352" s="4">
        <v>8.25</v>
      </c>
      <c r="J352" s="2">
        <v>45895</v>
      </c>
      <c r="K352" s="1" t="s">
        <v>1249</v>
      </c>
    </row>
    <row r="353" spans="1:11" x14ac:dyDescent="0.35">
      <c r="A353" s="3" t="s">
        <v>806</v>
      </c>
      <c r="B353" s="1" t="s">
        <v>1079</v>
      </c>
      <c r="C353" s="1" t="s">
        <v>1252</v>
      </c>
      <c r="D353" s="1" t="str">
        <f>"8340"</f>
        <v>8340</v>
      </c>
      <c r="E353" s="1" t="str">
        <f>"008237451"</f>
        <v>008237451</v>
      </c>
      <c r="F353" s="1" t="s">
        <v>1253</v>
      </c>
      <c r="G353" s="3" t="s">
        <v>15</v>
      </c>
      <c r="H353" s="3" t="str">
        <f>"20"</f>
        <v>20</v>
      </c>
      <c r="I353" s="4">
        <v>3.71</v>
      </c>
      <c r="J353" s="2">
        <v>45895</v>
      </c>
      <c r="K353" s="1" t="s">
        <v>1254</v>
      </c>
    </row>
    <row r="354" spans="1:11" x14ac:dyDescent="0.35">
      <c r="A354" s="3" t="s">
        <v>806</v>
      </c>
      <c r="B354" s="1" t="s">
        <v>870</v>
      </c>
      <c r="C354" s="1" t="s">
        <v>891</v>
      </c>
      <c r="D354" s="1" t="str">
        <f>"8405"</f>
        <v>8405</v>
      </c>
      <c r="E354" s="1" t="str">
        <f>"014624926"</f>
        <v>014624926</v>
      </c>
      <c r="F354" s="1" t="s">
        <v>892</v>
      </c>
      <c r="G354" s="3" t="s">
        <v>15</v>
      </c>
      <c r="H354" s="3" t="str">
        <f>"2"</f>
        <v>2</v>
      </c>
      <c r="I354" s="4">
        <v>37.96</v>
      </c>
      <c r="J354" s="2">
        <v>45891</v>
      </c>
      <c r="K354" s="1" t="s">
        <v>893</v>
      </c>
    </row>
    <row r="355" spans="1:11" x14ac:dyDescent="0.35">
      <c r="A355" s="3" t="s">
        <v>806</v>
      </c>
      <c r="B355" s="1" t="s">
        <v>870</v>
      </c>
      <c r="C355" s="1" t="s">
        <v>894</v>
      </c>
      <c r="D355" s="1" t="str">
        <f>"8405"</f>
        <v>8405</v>
      </c>
      <c r="E355" s="1" t="str">
        <f>"014624439"</f>
        <v>014624439</v>
      </c>
      <c r="F355" s="1" t="s">
        <v>892</v>
      </c>
      <c r="G355" s="3" t="s">
        <v>15</v>
      </c>
      <c r="H355" s="3" t="str">
        <f>"2"</f>
        <v>2</v>
      </c>
      <c r="I355" s="4">
        <v>37.96</v>
      </c>
      <c r="J355" s="2">
        <v>45891</v>
      </c>
      <c r="K355" s="1" t="s">
        <v>893</v>
      </c>
    </row>
    <row r="356" spans="1:11" x14ac:dyDescent="0.35">
      <c r="A356" s="3" t="s">
        <v>806</v>
      </c>
      <c r="B356" s="1" t="s">
        <v>870</v>
      </c>
      <c r="C356" s="1" t="s">
        <v>895</v>
      </c>
      <c r="D356" s="1" t="str">
        <f>"8405"</f>
        <v>8405</v>
      </c>
      <c r="E356" s="1" t="str">
        <f>"014624361"</f>
        <v>014624361</v>
      </c>
      <c r="F356" s="1" t="s">
        <v>892</v>
      </c>
      <c r="G356" s="3" t="s">
        <v>15</v>
      </c>
      <c r="H356" s="3" t="str">
        <f>"12"</f>
        <v>12</v>
      </c>
      <c r="I356" s="4">
        <v>37.96</v>
      </c>
      <c r="J356" s="2">
        <v>45891</v>
      </c>
      <c r="K356" s="1" t="s">
        <v>893</v>
      </c>
    </row>
    <row r="357" spans="1:11" x14ac:dyDescent="0.35">
      <c r="A357" s="3" t="s">
        <v>806</v>
      </c>
      <c r="B357" s="1" t="s">
        <v>870</v>
      </c>
      <c r="C357" s="1" t="s">
        <v>896</v>
      </c>
      <c r="D357" s="1" t="str">
        <f>"8405"</f>
        <v>8405</v>
      </c>
      <c r="E357" s="1" t="str">
        <f>"015347470"</f>
        <v>015347470</v>
      </c>
      <c r="F357" s="1" t="s">
        <v>892</v>
      </c>
      <c r="G357" s="3" t="s">
        <v>15</v>
      </c>
      <c r="H357" s="3" t="str">
        <f>"2"</f>
        <v>2</v>
      </c>
      <c r="I357" s="4">
        <v>62.17</v>
      </c>
      <c r="J357" s="2">
        <v>45891</v>
      </c>
      <c r="K357" s="1" t="s">
        <v>897</v>
      </c>
    </row>
    <row r="358" spans="1:11" x14ac:dyDescent="0.35">
      <c r="A358" s="3" t="s">
        <v>806</v>
      </c>
      <c r="B358" s="1" t="s">
        <v>870</v>
      </c>
      <c r="C358" s="1" t="s">
        <v>898</v>
      </c>
      <c r="D358" s="1" t="str">
        <f>"8405"</f>
        <v>8405</v>
      </c>
      <c r="E358" s="1" t="str">
        <f>"015347470"</f>
        <v>015347470</v>
      </c>
      <c r="F358" s="1" t="s">
        <v>892</v>
      </c>
      <c r="G358" s="3" t="s">
        <v>15</v>
      </c>
      <c r="H358" s="3" t="str">
        <f>"2"</f>
        <v>2</v>
      </c>
      <c r="I358" s="4">
        <v>62.17</v>
      </c>
      <c r="J358" s="2">
        <v>45891</v>
      </c>
      <c r="K358" s="1" t="s">
        <v>897</v>
      </c>
    </row>
    <row r="359" spans="1:11" x14ac:dyDescent="0.35">
      <c r="A359" s="3" t="s">
        <v>806</v>
      </c>
      <c r="B359" s="1" t="s">
        <v>870</v>
      </c>
      <c r="C359" s="1" t="s">
        <v>899</v>
      </c>
      <c r="D359" s="1" t="str">
        <f>"8405"</f>
        <v>8405</v>
      </c>
      <c r="E359" s="1" t="str">
        <f>"015347488"</f>
        <v>015347488</v>
      </c>
      <c r="F359" s="1" t="s">
        <v>892</v>
      </c>
      <c r="G359" s="3" t="s">
        <v>15</v>
      </c>
      <c r="H359" s="3" t="str">
        <f>"2"</f>
        <v>2</v>
      </c>
      <c r="I359" s="4">
        <v>62.17</v>
      </c>
      <c r="J359" s="2">
        <v>45891</v>
      </c>
      <c r="K359" s="1" t="s">
        <v>897</v>
      </c>
    </row>
    <row r="360" spans="1:11" x14ac:dyDescent="0.35">
      <c r="A360" s="3" t="s">
        <v>806</v>
      </c>
      <c r="B360" s="1" t="s">
        <v>870</v>
      </c>
      <c r="C360" s="1" t="s">
        <v>910</v>
      </c>
      <c r="D360" s="1" t="str">
        <f>"8415"</f>
        <v>8415</v>
      </c>
      <c r="E360" s="1" t="str">
        <f>"016612887"</f>
        <v>016612887</v>
      </c>
      <c r="F360" s="1" t="s">
        <v>892</v>
      </c>
      <c r="G360" s="3" t="s">
        <v>15</v>
      </c>
      <c r="H360" s="3" t="str">
        <f>"11"</f>
        <v>11</v>
      </c>
      <c r="I360" s="4">
        <v>86.28</v>
      </c>
      <c r="J360" s="2">
        <v>45891</v>
      </c>
      <c r="K360" s="1" t="s">
        <v>893</v>
      </c>
    </row>
    <row r="361" spans="1:11" x14ac:dyDescent="0.35">
      <c r="A361" s="3" t="s">
        <v>806</v>
      </c>
      <c r="B361" s="1" t="s">
        <v>870</v>
      </c>
      <c r="C361" s="1" t="s">
        <v>916</v>
      </c>
      <c r="D361" s="1" t="str">
        <f>"8415"</f>
        <v>8415</v>
      </c>
      <c r="E361" s="1" t="str">
        <f>"015388751"</f>
        <v>015388751</v>
      </c>
      <c r="F361" s="1" t="s">
        <v>901</v>
      </c>
      <c r="G361" s="3" t="s">
        <v>15</v>
      </c>
      <c r="H361" s="3" t="str">
        <f>"310"</f>
        <v>310</v>
      </c>
      <c r="I361" s="4">
        <v>28.24</v>
      </c>
      <c r="J361" s="2">
        <v>45891</v>
      </c>
      <c r="K361" s="1" t="s">
        <v>917</v>
      </c>
    </row>
    <row r="362" spans="1:11" x14ac:dyDescent="0.35">
      <c r="A362" s="3" t="s">
        <v>806</v>
      </c>
      <c r="B362" s="1" t="s">
        <v>870</v>
      </c>
      <c r="C362" s="1" t="s">
        <v>918</v>
      </c>
      <c r="D362" s="1" t="str">
        <f>"8460"</f>
        <v>8460</v>
      </c>
      <c r="E362" s="1" t="str">
        <f>"006068366"</f>
        <v>006068366</v>
      </c>
      <c r="F362" s="1" t="s">
        <v>699</v>
      </c>
      <c r="G362" s="3" t="s">
        <v>15</v>
      </c>
      <c r="H362" s="3" t="str">
        <f>"5"</f>
        <v>5</v>
      </c>
      <c r="I362" s="4">
        <v>39.590000000000003</v>
      </c>
      <c r="J362" s="2">
        <v>45891</v>
      </c>
      <c r="K362" s="1" t="s">
        <v>919</v>
      </c>
    </row>
    <row r="363" spans="1:11" x14ac:dyDescent="0.35">
      <c r="A363" s="3" t="s">
        <v>806</v>
      </c>
      <c r="B363" s="1" t="s">
        <v>870</v>
      </c>
      <c r="C363" s="1" t="s">
        <v>933</v>
      </c>
      <c r="D363" s="1" t="str">
        <f>"8465"</f>
        <v>8465</v>
      </c>
      <c r="E363" s="1" t="str">
        <f>"015800481"</f>
        <v>015800481</v>
      </c>
      <c r="F363" s="1" t="s">
        <v>934</v>
      </c>
      <c r="G363" s="3" t="s">
        <v>58</v>
      </c>
      <c r="H363" s="3" t="str">
        <f>"39"</f>
        <v>39</v>
      </c>
      <c r="I363" s="4">
        <v>306.95</v>
      </c>
      <c r="J363" s="2">
        <v>45891</v>
      </c>
      <c r="K363" s="1" t="s">
        <v>935</v>
      </c>
    </row>
    <row r="364" spans="1:11" x14ac:dyDescent="0.35">
      <c r="A364" s="3" t="s">
        <v>806</v>
      </c>
      <c r="B364" s="1" t="s">
        <v>994</v>
      </c>
      <c r="C364" s="1" t="s">
        <v>995</v>
      </c>
      <c r="D364" s="1" t="str">
        <f>"2340"</f>
        <v>2340</v>
      </c>
      <c r="E364" s="1" t="s">
        <v>694</v>
      </c>
      <c r="F364" s="1" t="s">
        <v>695</v>
      </c>
      <c r="G364" s="3" t="s">
        <v>15</v>
      </c>
      <c r="H364" s="3" t="str">
        <f>"1"</f>
        <v>1</v>
      </c>
      <c r="I364" s="4">
        <v>16298.79</v>
      </c>
      <c r="J364" s="2">
        <v>45890</v>
      </c>
      <c r="K364" s="1" t="s">
        <v>996</v>
      </c>
    </row>
    <row r="365" spans="1:11" x14ac:dyDescent="0.35">
      <c r="A365" s="3" t="s">
        <v>806</v>
      </c>
      <c r="B365" s="1" t="s">
        <v>994</v>
      </c>
      <c r="C365" s="1" t="s">
        <v>997</v>
      </c>
      <c r="D365" s="1" t="str">
        <f>"2340"</f>
        <v>2340</v>
      </c>
      <c r="E365" s="1" t="s">
        <v>694</v>
      </c>
      <c r="F365" s="1" t="s">
        <v>695</v>
      </c>
      <c r="G365" s="3" t="s">
        <v>15</v>
      </c>
      <c r="H365" s="3" t="str">
        <f>"1"</f>
        <v>1</v>
      </c>
      <c r="I365" s="4">
        <v>13921.2</v>
      </c>
      <c r="J365" s="2">
        <v>45890</v>
      </c>
      <c r="K365" s="1" t="s">
        <v>996</v>
      </c>
    </row>
    <row r="366" spans="1:11" x14ac:dyDescent="0.35">
      <c r="A366" s="3" t="s">
        <v>806</v>
      </c>
      <c r="B366" s="1" t="s">
        <v>1079</v>
      </c>
      <c r="C366" s="1" t="s">
        <v>1250</v>
      </c>
      <c r="D366" s="1" t="str">
        <f>"8340"</f>
        <v>8340</v>
      </c>
      <c r="E366" s="1" t="str">
        <f>"009516419"</f>
        <v>009516419</v>
      </c>
      <c r="F366" s="1" t="s">
        <v>957</v>
      </c>
      <c r="G366" s="3" t="s">
        <v>15</v>
      </c>
      <c r="H366" s="3" t="str">
        <f>"5"</f>
        <v>5</v>
      </c>
      <c r="I366" s="4">
        <v>13632.17</v>
      </c>
      <c r="J366" s="2">
        <v>45883</v>
      </c>
      <c r="K366" s="1" t="s">
        <v>1251</v>
      </c>
    </row>
    <row r="367" spans="1:11" x14ac:dyDescent="0.35">
      <c r="A367" s="3" t="s">
        <v>806</v>
      </c>
      <c r="B367" s="1" t="s">
        <v>941</v>
      </c>
      <c r="C367" s="1" t="s">
        <v>942</v>
      </c>
      <c r="D367" s="1" t="str">
        <f>"4120"</f>
        <v>4120</v>
      </c>
      <c r="E367" s="1" t="str">
        <f>"010179189"</f>
        <v>010179189</v>
      </c>
      <c r="F367" s="1" t="s">
        <v>943</v>
      </c>
      <c r="G367" s="3" t="s">
        <v>15</v>
      </c>
      <c r="H367" s="3" t="str">
        <f>"1"</f>
        <v>1</v>
      </c>
      <c r="I367" s="4" t="str">
        <f>"43520"</f>
        <v>43520</v>
      </c>
      <c r="J367" s="2">
        <v>45882</v>
      </c>
      <c r="K367" s="1" t="s">
        <v>944</v>
      </c>
    </row>
    <row r="368" spans="1:11" x14ac:dyDescent="0.35">
      <c r="A368" s="3" t="s">
        <v>806</v>
      </c>
      <c r="B368" s="1" t="s">
        <v>994</v>
      </c>
      <c r="C368" s="1" t="s">
        <v>998</v>
      </c>
      <c r="D368" s="1" t="str">
        <f>"3930"</f>
        <v>3930</v>
      </c>
      <c r="E368" s="1" t="s">
        <v>150</v>
      </c>
      <c r="F368" s="1" t="s">
        <v>151</v>
      </c>
      <c r="G368" s="3" t="s">
        <v>15</v>
      </c>
      <c r="H368" s="3" t="str">
        <f>"1"</f>
        <v>1</v>
      </c>
      <c r="I368" s="4" t="str">
        <f>"26314"</f>
        <v>26314</v>
      </c>
      <c r="J368" s="2">
        <v>45882</v>
      </c>
      <c r="K368" s="1" t="s">
        <v>999</v>
      </c>
    </row>
    <row r="369" spans="1:11" x14ac:dyDescent="0.35">
      <c r="A369" s="3" t="s">
        <v>806</v>
      </c>
      <c r="B369" s="1" t="s">
        <v>1000</v>
      </c>
      <c r="C369" s="1" t="s">
        <v>1005</v>
      </c>
      <c r="D369" s="1" t="str">
        <f>"1005"</f>
        <v>1005</v>
      </c>
      <c r="E369" s="1" t="str">
        <f>"014488513"</f>
        <v>014488513</v>
      </c>
      <c r="F369" s="1" t="s">
        <v>1004</v>
      </c>
      <c r="G369" s="3" t="s">
        <v>15</v>
      </c>
      <c r="H369" s="3" t="str">
        <f>"7"</f>
        <v>7</v>
      </c>
      <c r="I369" s="4">
        <v>118.28</v>
      </c>
      <c r="J369" s="2">
        <v>45881</v>
      </c>
      <c r="K369" s="1" t="s">
        <v>1002</v>
      </c>
    </row>
    <row r="370" spans="1:11" x14ac:dyDescent="0.35">
      <c r="A370" s="3" t="s">
        <v>806</v>
      </c>
      <c r="B370" s="1" t="s">
        <v>1000</v>
      </c>
      <c r="C370" s="1" t="s">
        <v>1021</v>
      </c>
      <c r="D370" s="1" t="str">
        <f>"4010"</f>
        <v>4010</v>
      </c>
      <c r="E370" s="1" t="s">
        <v>80</v>
      </c>
      <c r="F370" s="1" t="s">
        <v>81</v>
      </c>
      <c r="G370" s="3" t="s">
        <v>15</v>
      </c>
      <c r="H370" s="3" t="str">
        <f>"2"</f>
        <v>2</v>
      </c>
      <c r="I370" s="4" t="str">
        <f>"100"</f>
        <v>100</v>
      </c>
      <c r="J370" s="2">
        <v>45881</v>
      </c>
      <c r="K370" s="1" t="s">
        <v>1022</v>
      </c>
    </row>
    <row r="371" spans="1:11" x14ac:dyDescent="0.35">
      <c r="A371" s="3" t="s">
        <v>806</v>
      </c>
      <c r="B371" s="1" t="s">
        <v>1000</v>
      </c>
      <c r="C371" s="1" t="s">
        <v>1024</v>
      </c>
      <c r="D371" s="1" t="str">
        <f>"4240"</f>
        <v>4240</v>
      </c>
      <c r="E371" s="1" t="str">
        <f>"015835742"</f>
        <v>015835742</v>
      </c>
      <c r="F371" s="1" t="s">
        <v>214</v>
      </c>
      <c r="G371" s="3" t="s">
        <v>15</v>
      </c>
      <c r="H371" s="3" t="str">
        <f>"4"</f>
        <v>4</v>
      </c>
      <c r="I371" s="4">
        <v>64.8</v>
      </c>
      <c r="J371" s="2">
        <v>45881</v>
      </c>
      <c r="K371" s="1" t="s">
        <v>1025</v>
      </c>
    </row>
    <row r="372" spans="1:11" x14ac:dyDescent="0.35">
      <c r="A372" s="3" t="s">
        <v>806</v>
      </c>
      <c r="B372" s="1" t="s">
        <v>1000</v>
      </c>
      <c r="C372" s="1" t="s">
        <v>1026</v>
      </c>
      <c r="D372" s="1" t="str">
        <f>"4240"</f>
        <v>4240</v>
      </c>
      <c r="E372" s="1" t="str">
        <f>"015835742"</f>
        <v>015835742</v>
      </c>
      <c r="F372" s="1" t="s">
        <v>214</v>
      </c>
      <c r="G372" s="3" t="s">
        <v>15</v>
      </c>
      <c r="H372" s="3" t="str">
        <f>"3"</f>
        <v>3</v>
      </c>
      <c r="I372" s="4">
        <v>64.8</v>
      </c>
      <c r="J372" s="2">
        <v>45881</v>
      </c>
      <c r="K372" s="1" t="s">
        <v>1027</v>
      </c>
    </row>
    <row r="373" spans="1:11" x14ac:dyDescent="0.35">
      <c r="A373" s="3" t="s">
        <v>806</v>
      </c>
      <c r="B373" s="1" t="s">
        <v>1000</v>
      </c>
      <c r="C373" s="1" t="s">
        <v>1042</v>
      </c>
      <c r="D373" s="1" t="str">
        <f>"5140"</f>
        <v>5140</v>
      </c>
      <c r="E373" s="1" t="str">
        <f>"015190650"</f>
        <v>015190650</v>
      </c>
      <c r="F373" s="1" t="s">
        <v>1043</v>
      </c>
      <c r="G373" s="3" t="s">
        <v>15</v>
      </c>
      <c r="H373" s="3" t="str">
        <f>"1"</f>
        <v>1</v>
      </c>
      <c r="I373" s="4">
        <v>112.13</v>
      </c>
      <c r="J373" s="2">
        <v>45881</v>
      </c>
      <c r="K373" s="1" t="s">
        <v>1044</v>
      </c>
    </row>
    <row r="374" spans="1:11" x14ac:dyDescent="0.35">
      <c r="A374" s="3" t="s">
        <v>806</v>
      </c>
      <c r="B374" s="1" t="s">
        <v>1000</v>
      </c>
      <c r="C374" s="1" t="s">
        <v>1045</v>
      </c>
      <c r="D374" s="1" t="str">
        <f>"6545"</f>
        <v>6545</v>
      </c>
      <c r="E374" s="1" t="str">
        <f>"015841582"</f>
        <v>015841582</v>
      </c>
      <c r="F374" s="1" t="s">
        <v>1046</v>
      </c>
      <c r="G374" s="3" t="s">
        <v>19</v>
      </c>
      <c r="H374" s="3" t="str">
        <f>"15"</f>
        <v>15</v>
      </c>
      <c r="I374" s="4">
        <v>103.24</v>
      </c>
      <c r="J374" s="2">
        <v>45881</v>
      </c>
      <c r="K374" s="1" t="s">
        <v>1047</v>
      </c>
    </row>
    <row r="375" spans="1:11" x14ac:dyDescent="0.35">
      <c r="A375" s="3" t="s">
        <v>806</v>
      </c>
      <c r="B375" s="1" t="s">
        <v>1000</v>
      </c>
      <c r="C375" s="1" t="s">
        <v>1048</v>
      </c>
      <c r="D375" s="1" t="str">
        <f>"6545"</f>
        <v>6545</v>
      </c>
      <c r="E375" s="1" t="str">
        <f>"015841582"</f>
        <v>015841582</v>
      </c>
      <c r="F375" s="1" t="s">
        <v>1046</v>
      </c>
      <c r="G375" s="3" t="s">
        <v>19</v>
      </c>
      <c r="H375" s="3" t="str">
        <f>"10"</f>
        <v>10</v>
      </c>
      <c r="I375" s="4">
        <v>103.24</v>
      </c>
      <c r="J375" s="2">
        <v>45881</v>
      </c>
      <c r="K375" s="1" t="s">
        <v>1049</v>
      </c>
    </row>
    <row r="376" spans="1:11" x14ac:dyDescent="0.35">
      <c r="A376" s="3" t="s">
        <v>806</v>
      </c>
      <c r="B376" s="1" t="s">
        <v>1000</v>
      </c>
      <c r="C376" s="1" t="s">
        <v>1052</v>
      </c>
      <c r="D376" s="1" t="str">
        <f>"8340"</f>
        <v>8340</v>
      </c>
      <c r="E376" s="1" t="str">
        <f>"015930779"</f>
        <v>015930779</v>
      </c>
      <c r="F376" s="1" t="s">
        <v>1053</v>
      </c>
      <c r="G376" s="3" t="s">
        <v>19</v>
      </c>
      <c r="H376" s="3" t="str">
        <f>"7"</f>
        <v>7</v>
      </c>
      <c r="I376" s="4">
        <v>350.42</v>
      </c>
      <c r="J376" s="2">
        <v>45881</v>
      </c>
      <c r="K376" s="1" t="s">
        <v>1054</v>
      </c>
    </row>
    <row r="377" spans="1:11" x14ac:dyDescent="0.35">
      <c r="A377" s="3" t="s">
        <v>806</v>
      </c>
      <c r="B377" s="1" t="s">
        <v>1000</v>
      </c>
      <c r="C377" s="1" t="s">
        <v>1055</v>
      </c>
      <c r="D377" s="1" t="str">
        <f>"8415"</f>
        <v>8415</v>
      </c>
      <c r="E377" s="1" t="str">
        <f>"015801355"</f>
        <v>015801355</v>
      </c>
      <c r="F377" s="1" t="s">
        <v>839</v>
      </c>
      <c r="G377" s="3" t="s">
        <v>15</v>
      </c>
      <c r="H377" s="3" t="str">
        <f>"9"</f>
        <v>9</v>
      </c>
      <c r="I377" s="4">
        <v>81.66</v>
      </c>
      <c r="J377" s="2">
        <v>45881</v>
      </c>
      <c r="K377" s="1" t="s">
        <v>1056</v>
      </c>
    </row>
    <row r="378" spans="1:11" x14ac:dyDescent="0.35">
      <c r="A378" s="3" t="s">
        <v>806</v>
      </c>
      <c r="B378" s="1" t="s">
        <v>1000</v>
      </c>
      <c r="C378" s="1" t="s">
        <v>1057</v>
      </c>
      <c r="D378" s="1" t="str">
        <f>"8415"</f>
        <v>8415</v>
      </c>
      <c r="E378" s="1" t="str">
        <f>"015512386"</f>
        <v>015512386</v>
      </c>
      <c r="F378" s="1" t="s">
        <v>839</v>
      </c>
      <c r="G378" s="3" t="s">
        <v>15</v>
      </c>
      <c r="H378" s="3" t="str">
        <f>"1"</f>
        <v>1</v>
      </c>
      <c r="I378" s="4">
        <v>63.13</v>
      </c>
      <c r="J378" s="2">
        <v>45881</v>
      </c>
      <c r="K378" s="1" t="s">
        <v>1056</v>
      </c>
    </row>
    <row r="379" spans="1:11" x14ac:dyDescent="0.35">
      <c r="A379" s="3" t="s">
        <v>806</v>
      </c>
      <c r="B379" s="1" t="s">
        <v>1000</v>
      </c>
      <c r="C379" s="1" t="s">
        <v>1058</v>
      </c>
      <c r="D379" s="1" t="str">
        <f>"8415"</f>
        <v>8415</v>
      </c>
      <c r="E379" s="1" t="str">
        <f>"014618337"</f>
        <v>014618337</v>
      </c>
      <c r="F379" s="1" t="s">
        <v>841</v>
      </c>
      <c r="G379" s="3" t="s">
        <v>15</v>
      </c>
      <c r="H379" s="3" t="str">
        <f>"7"</f>
        <v>7</v>
      </c>
      <c r="I379" s="4">
        <v>60.87</v>
      </c>
      <c r="J379" s="2">
        <v>45881</v>
      </c>
      <c r="K379" s="1" t="s">
        <v>1059</v>
      </c>
    </row>
    <row r="380" spans="1:11" x14ac:dyDescent="0.35">
      <c r="A380" s="3" t="s">
        <v>806</v>
      </c>
      <c r="B380" s="1" t="s">
        <v>1000</v>
      </c>
      <c r="C380" s="1" t="s">
        <v>1060</v>
      </c>
      <c r="D380" s="1" t="str">
        <f>"8465"</f>
        <v>8465</v>
      </c>
      <c r="E380" s="1" t="str">
        <f>"015987693"</f>
        <v>015987693</v>
      </c>
      <c r="F380" s="1" t="s">
        <v>857</v>
      </c>
      <c r="G380" s="3" t="s">
        <v>15</v>
      </c>
      <c r="H380" s="3" t="str">
        <f>"4"</f>
        <v>4</v>
      </c>
      <c r="I380" s="4" t="str">
        <f>"664"</f>
        <v>664</v>
      </c>
      <c r="J380" s="2">
        <v>45881</v>
      </c>
      <c r="K380" s="1" t="s">
        <v>1061</v>
      </c>
    </row>
    <row r="381" spans="1:11" x14ac:dyDescent="0.35">
      <c r="A381" s="3" t="s">
        <v>806</v>
      </c>
      <c r="B381" s="1" t="s">
        <v>1000</v>
      </c>
      <c r="C381" s="1" t="s">
        <v>1062</v>
      </c>
      <c r="D381" s="1" t="str">
        <f>"8465"</f>
        <v>8465</v>
      </c>
      <c r="E381" s="1" t="str">
        <f>"016155141"</f>
        <v>016155141</v>
      </c>
      <c r="F381" s="1" t="s">
        <v>1063</v>
      </c>
      <c r="G381" s="3" t="s">
        <v>15</v>
      </c>
      <c r="H381" s="3" t="str">
        <f>"2"</f>
        <v>2</v>
      </c>
      <c r="I381" s="4">
        <v>38.31</v>
      </c>
      <c r="J381" s="2">
        <v>45881</v>
      </c>
      <c r="K381" s="1" t="s">
        <v>1064</v>
      </c>
    </row>
    <row r="382" spans="1:11" x14ac:dyDescent="0.35">
      <c r="A382" s="3" t="s">
        <v>806</v>
      </c>
      <c r="B382" s="1" t="s">
        <v>1000</v>
      </c>
      <c r="C382" s="1" t="s">
        <v>1065</v>
      </c>
      <c r="D382" s="1" t="str">
        <f>"8465"</f>
        <v>8465</v>
      </c>
      <c r="E382" s="1" t="str">
        <f>"015250578"</f>
        <v>015250578</v>
      </c>
      <c r="F382" s="1" t="s">
        <v>1066</v>
      </c>
      <c r="G382" s="3" t="s">
        <v>58</v>
      </c>
      <c r="H382" s="3" t="str">
        <f>"6"</f>
        <v>6</v>
      </c>
      <c r="I382" s="4">
        <v>336.04</v>
      </c>
      <c r="J382" s="2">
        <v>45881</v>
      </c>
      <c r="K382" s="1" t="s">
        <v>1067</v>
      </c>
    </row>
    <row r="383" spans="1:11" x14ac:dyDescent="0.35">
      <c r="A383" s="3" t="s">
        <v>806</v>
      </c>
      <c r="B383" s="1" t="s">
        <v>1000</v>
      </c>
      <c r="C383" s="1" t="s">
        <v>1068</v>
      </c>
      <c r="D383" s="1" t="str">
        <f>"8465"</f>
        <v>8465</v>
      </c>
      <c r="E383" s="1" t="str">
        <f>"016416353"</f>
        <v>016416353</v>
      </c>
      <c r="F383" s="1" t="s">
        <v>637</v>
      </c>
      <c r="G383" s="3" t="s">
        <v>58</v>
      </c>
      <c r="H383" s="3" t="str">
        <f>"10"</f>
        <v>10</v>
      </c>
      <c r="I383" s="4">
        <v>234.01</v>
      </c>
      <c r="J383" s="2">
        <v>45881</v>
      </c>
      <c r="K383" s="1" t="s">
        <v>1069</v>
      </c>
    </row>
    <row r="384" spans="1:11" x14ac:dyDescent="0.35">
      <c r="A384" s="3" t="s">
        <v>806</v>
      </c>
      <c r="B384" s="1" t="s">
        <v>1000</v>
      </c>
      <c r="C384" s="1" t="s">
        <v>1070</v>
      </c>
      <c r="D384" s="1" t="str">
        <f>"8465"</f>
        <v>8465</v>
      </c>
      <c r="E384" s="1" t="str">
        <f>"016797709"</f>
        <v>016797709</v>
      </c>
      <c r="F384" s="1" t="s">
        <v>975</v>
      </c>
      <c r="G384" s="3" t="s">
        <v>15</v>
      </c>
      <c r="H384" s="3" t="str">
        <f>"7"</f>
        <v>7</v>
      </c>
      <c r="I384" s="4">
        <v>375.67</v>
      </c>
      <c r="J384" s="2">
        <v>45881</v>
      </c>
      <c r="K384" s="1" t="s">
        <v>1071</v>
      </c>
    </row>
    <row r="385" spans="1:11" x14ac:dyDescent="0.35">
      <c r="A385" s="3" t="s">
        <v>806</v>
      </c>
      <c r="B385" s="1" t="s">
        <v>1000</v>
      </c>
      <c r="C385" s="1" t="s">
        <v>1072</v>
      </c>
      <c r="D385" s="1" t="str">
        <f>"8465"</f>
        <v>8465</v>
      </c>
      <c r="E385" s="1" t="s">
        <v>1073</v>
      </c>
      <c r="F385" s="1" t="s">
        <v>1074</v>
      </c>
      <c r="G385" s="3" t="s">
        <v>15</v>
      </c>
      <c r="H385" s="3" t="str">
        <f>"6"</f>
        <v>6</v>
      </c>
      <c r="I385" s="4">
        <v>119.95</v>
      </c>
      <c r="J385" s="2">
        <v>45881</v>
      </c>
      <c r="K385" s="1" t="s">
        <v>1075</v>
      </c>
    </row>
    <row r="386" spans="1:11" x14ac:dyDescent="0.35">
      <c r="A386" s="3" t="s">
        <v>806</v>
      </c>
      <c r="B386" s="1" t="s">
        <v>1000</v>
      </c>
      <c r="C386" s="1" t="s">
        <v>1076</v>
      </c>
      <c r="D386" s="1" t="str">
        <f>"8465"</f>
        <v>8465</v>
      </c>
      <c r="E386" s="1" t="s">
        <v>1073</v>
      </c>
      <c r="F386" s="1" t="s">
        <v>1074</v>
      </c>
      <c r="G386" s="3" t="s">
        <v>15</v>
      </c>
      <c r="H386" s="3" t="str">
        <f>"11"</f>
        <v>11</v>
      </c>
      <c r="I386" s="4">
        <v>94.41</v>
      </c>
      <c r="J386" s="2">
        <v>45881</v>
      </c>
      <c r="K386" s="1" t="s">
        <v>1075</v>
      </c>
    </row>
    <row r="387" spans="1:11" x14ac:dyDescent="0.35">
      <c r="A387" s="3" t="s">
        <v>806</v>
      </c>
      <c r="B387" s="1" t="s">
        <v>1000</v>
      </c>
      <c r="C387" s="1" t="s">
        <v>1077</v>
      </c>
      <c r="D387" s="1" t="str">
        <f>"8465"</f>
        <v>8465</v>
      </c>
      <c r="E387" s="1" t="s">
        <v>1073</v>
      </c>
      <c r="F387" s="1" t="s">
        <v>1074</v>
      </c>
      <c r="G387" s="3" t="s">
        <v>15</v>
      </c>
      <c r="H387" s="3" t="str">
        <f>"6"</f>
        <v>6</v>
      </c>
      <c r="I387" s="4">
        <v>119.95</v>
      </c>
      <c r="J387" s="2">
        <v>45881</v>
      </c>
      <c r="K387" s="1" t="s">
        <v>1075</v>
      </c>
    </row>
    <row r="388" spans="1:11" x14ac:dyDescent="0.35">
      <c r="A388" s="3" t="s">
        <v>806</v>
      </c>
      <c r="B388" s="1" t="s">
        <v>1000</v>
      </c>
      <c r="C388" s="1" t="s">
        <v>1078</v>
      </c>
      <c r="D388" s="1" t="str">
        <f>"8465"</f>
        <v>8465</v>
      </c>
      <c r="E388" s="1" t="s">
        <v>1073</v>
      </c>
      <c r="F388" s="1" t="s">
        <v>1074</v>
      </c>
      <c r="G388" s="3" t="s">
        <v>15</v>
      </c>
      <c r="H388" s="3" t="str">
        <f>"3"</f>
        <v>3</v>
      </c>
      <c r="I388" s="4" t="str">
        <f>"115"</f>
        <v>115</v>
      </c>
      <c r="J388" s="2">
        <v>45881</v>
      </c>
      <c r="K388" s="1" t="s">
        <v>1075</v>
      </c>
    </row>
    <row r="389" spans="1:11" x14ac:dyDescent="0.35">
      <c r="A389" s="3" t="s">
        <v>806</v>
      </c>
      <c r="B389" s="1" t="s">
        <v>1079</v>
      </c>
      <c r="C389" s="1" t="s">
        <v>1104</v>
      </c>
      <c r="D389" s="1" t="str">
        <f>"4240"</f>
        <v>4240</v>
      </c>
      <c r="E389" s="1" t="s">
        <v>1105</v>
      </c>
      <c r="F389" s="1" t="s">
        <v>1106</v>
      </c>
      <c r="G389" s="3" t="s">
        <v>15</v>
      </c>
      <c r="H389" s="3" t="str">
        <f>"4"</f>
        <v>4</v>
      </c>
      <c r="I389" s="4" t="str">
        <f>"75"</f>
        <v>75</v>
      </c>
      <c r="J389" s="2">
        <v>45881</v>
      </c>
      <c r="K389" s="1" t="s">
        <v>1107</v>
      </c>
    </row>
    <row r="390" spans="1:11" x14ac:dyDescent="0.35">
      <c r="A390" s="3" t="s">
        <v>806</v>
      </c>
      <c r="B390" s="1" t="s">
        <v>1079</v>
      </c>
      <c r="C390" s="1" t="s">
        <v>1115</v>
      </c>
      <c r="D390" s="1" t="str">
        <f>"4320"</f>
        <v>4320</v>
      </c>
      <c r="E390" s="1" t="str">
        <f>"008529036"</f>
        <v>008529036</v>
      </c>
      <c r="F390" s="1" t="s">
        <v>1116</v>
      </c>
      <c r="G390" s="3" t="s">
        <v>15</v>
      </c>
      <c r="H390" s="3" t="str">
        <f>"5"</f>
        <v>5</v>
      </c>
      <c r="I390" s="4">
        <v>38.97</v>
      </c>
      <c r="J390" s="2">
        <v>45881</v>
      </c>
      <c r="K390" s="1" t="s">
        <v>1117</v>
      </c>
    </row>
    <row r="391" spans="1:11" x14ac:dyDescent="0.35">
      <c r="A391" s="3" t="s">
        <v>806</v>
      </c>
      <c r="B391" s="1" t="s">
        <v>1079</v>
      </c>
      <c r="C391" s="1" t="s">
        <v>1159</v>
      </c>
      <c r="D391" s="1" t="str">
        <f>"5130"</f>
        <v>5130</v>
      </c>
      <c r="E391" s="1" t="str">
        <f>"015184824"</f>
        <v>015184824</v>
      </c>
      <c r="F391" s="1" t="s">
        <v>1160</v>
      </c>
      <c r="G391" s="3" t="s">
        <v>15</v>
      </c>
      <c r="H391" s="3" t="str">
        <f>"9"</f>
        <v>9</v>
      </c>
      <c r="I391" s="4">
        <v>101.85</v>
      </c>
      <c r="J391" s="2">
        <v>45881</v>
      </c>
      <c r="K391" s="1" t="s">
        <v>1161</v>
      </c>
    </row>
    <row r="392" spans="1:11" x14ac:dyDescent="0.35">
      <c r="A392" s="3" t="s">
        <v>806</v>
      </c>
      <c r="B392" s="1" t="s">
        <v>1079</v>
      </c>
      <c r="C392" s="1" t="s">
        <v>1165</v>
      </c>
      <c r="D392" s="1" t="str">
        <f>"5130"</f>
        <v>5130</v>
      </c>
      <c r="E392" s="1" t="str">
        <f>"003575135"</f>
        <v>003575135</v>
      </c>
      <c r="F392" s="1" t="s">
        <v>1163</v>
      </c>
      <c r="G392" s="3" t="s">
        <v>58</v>
      </c>
      <c r="H392" s="3" t="str">
        <f>"1"</f>
        <v>1</v>
      </c>
      <c r="I392" s="4" t="str">
        <f>"462"</f>
        <v>462</v>
      </c>
      <c r="J392" s="2">
        <v>45881</v>
      </c>
      <c r="K392" s="1" t="s">
        <v>1166</v>
      </c>
    </row>
    <row r="393" spans="1:11" x14ac:dyDescent="0.35">
      <c r="A393" s="3" t="s">
        <v>806</v>
      </c>
      <c r="B393" s="1" t="s">
        <v>1079</v>
      </c>
      <c r="C393" s="1" t="s">
        <v>1183</v>
      </c>
      <c r="D393" s="1" t="str">
        <f>"5340"</f>
        <v>5340</v>
      </c>
      <c r="E393" s="1" t="str">
        <f>"015395320"</f>
        <v>015395320</v>
      </c>
      <c r="F393" s="1" t="s">
        <v>1184</v>
      </c>
      <c r="G393" s="3" t="s">
        <v>15</v>
      </c>
      <c r="H393" s="3" t="str">
        <f>"5"</f>
        <v>5</v>
      </c>
      <c r="I393" s="4">
        <v>209.69</v>
      </c>
      <c r="J393" s="2">
        <v>45881</v>
      </c>
      <c r="K393" s="1" t="s">
        <v>1185</v>
      </c>
    </row>
    <row r="394" spans="1:11" x14ac:dyDescent="0.35">
      <c r="A394" s="3" t="s">
        <v>806</v>
      </c>
      <c r="B394" s="1" t="s">
        <v>1079</v>
      </c>
      <c r="C394" s="1" t="s">
        <v>1204</v>
      </c>
      <c r="D394" s="1" t="str">
        <f>"6260"</f>
        <v>6260</v>
      </c>
      <c r="E394" s="1" t="str">
        <f>"011959753"</f>
        <v>011959753</v>
      </c>
      <c r="F394" s="1" t="s">
        <v>657</v>
      </c>
      <c r="G394" s="3" t="s">
        <v>290</v>
      </c>
      <c r="H394" s="3" t="str">
        <f>"30"</f>
        <v>30</v>
      </c>
      <c r="I394" s="4">
        <v>29.52</v>
      </c>
      <c r="J394" s="2">
        <v>45881</v>
      </c>
      <c r="K394" s="1" t="s">
        <v>1205</v>
      </c>
    </row>
    <row r="395" spans="1:11" x14ac:dyDescent="0.35">
      <c r="A395" s="3" t="s">
        <v>806</v>
      </c>
      <c r="B395" s="1" t="s">
        <v>1079</v>
      </c>
      <c r="C395" s="1" t="s">
        <v>1239</v>
      </c>
      <c r="D395" s="1" t="str">
        <f>"7830"</f>
        <v>7830</v>
      </c>
      <c r="E395" s="1" t="str">
        <f>"014687301"</f>
        <v>014687301</v>
      </c>
      <c r="F395" s="1" t="s">
        <v>1240</v>
      </c>
      <c r="G395" s="3" t="s">
        <v>15</v>
      </c>
      <c r="H395" s="3" t="str">
        <f>"5"</f>
        <v>5</v>
      </c>
      <c r="I395" s="4">
        <v>34.92</v>
      </c>
      <c r="J395" s="2">
        <v>45881</v>
      </c>
      <c r="K395" s="1" t="s">
        <v>1241</v>
      </c>
    </row>
    <row r="396" spans="1:11" x14ac:dyDescent="0.35">
      <c r="A396" s="3" t="s">
        <v>806</v>
      </c>
      <c r="B396" s="1" t="s">
        <v>1079</v>
      </c>
      <c r="C396" s="1" t="s">
        <v>1255</v>
      </c>
      <c r="D396" s="1" t="str">
        <f>"8340"</f>
        <v>8340</v>
      </c>
      <c r="E396" s="1" t="str">
        <f>"015331694"</f>
        <v>015331694</v>
      </c>
      <c r="F396" s="1" t="s">
        <v>1256</v>
      </c>
      <c r="G396" s="3" t="s">
        <v>15</v>
      </c>
      <c r="H396" s="3" t="str">
        <f>"10"</f>
        <v>10</v>
      </c>
      <c r="I396" s="4">
        <v>614.58000000000004</v>
      </c>
      <c r="J396" s="2">
        <v>45881</v>
      </c>
      <c r="K396" s="1" t="s">
        <v>1257</v>
      </c>
    </row>
    <row r="397" spans="1:11" x14ac:dyDescent="0.35">
      <c r="A397" s="3" t="s">
        <v>806</v>
      </c>
      <c r="B397" s="1" t="s">
        <v>1079</v>
      </c>
      <c r="C397" s="1" t="s">
        <v>1258</v>
      </c>
      <c r="D397" s="1" t="str">
        <f>"8340"</f>
        <v>8340</v>
      </c>
      <c r="E397" s="1" t="str">
        <f>"013232454"</f>
        <v>013232454</v>
      </c>
      <c r="F397" s="1" t="s">
        <v>1259</v>
      </c>
      <c r="G397" s="3" t="s">
        <v>15</v>
      </c>
      <c r="H397" s="3" t="str">
        <f>"1"</f>
        <v>1</v>
      </c>
      <c r="I397" s="4">
        <v>6535.54</v>
      </c>
      <c r="J397" s="2">
        <v>45881</v>
      </c>
      <c r="K397" s="1" t="s">
        <v>1260</v>
      </c>
    </row>
    <row r="398" spans="1:11" x14ac:dyDescent="0.35">
      <c r="A398" s="3" t="s">
        <v>806</v>
      </c>
      <c r="B398" s="1" t="s">
        <v>1079</v>
      </c>
      <c r="C398" s="1" t="s">
        <v>1261</v>
      </c>
      <c r="D398" s="1" t="str">
        <f>"8345"</f>
        <v>8345</v>
      </c>
      <c r="E398" s="1" t="s">
        <v>1262</v>
      </c>
      <c r="F398" s="1" t="s">
        <v>1263</v>
      </c>
      <c r="G398" s="3" t="s">
        <v>15</v>
      </c>
      <c r="H398" s="3" t="str">
        <f>"1"</f>
        <v>1</v>
      </c>
      <c r="I398" s="4" t="str">
        <f>"35"</f>
        <v>35</v>
      </c>
      <c r="J398" s="2">
        <v>45881</v>
      </c>
      <c r="K398" s="1" t="s">
        <v>1264</v>
      </c>
    </row>
    <row r="399" spans="1:11" x14ac:dyDescent="0.35">
      <c r="A399" s="3" t="s">
        <v>806</v>
      </c>
      <c r="B399" s="1" t="s">
        <v>1079</v>
      </c>
      <c r="C399" s="1" t="s">
        <v>1265</v>
      </c>
      <c r="D399" s="1" t="str">
        <f>"8405"</f>
        <v>8405</v>
      </c>
      <c r="E399" s="1" t="str">
        <f>"000018028"</f>
        <v>000018028</v>
      </c>
      <c r="F399" s="1" t="s">
        <v>970</v>
      </c>
      <c r="G399" s="3" t="s">
        <v>847</v>
      </c>
      <c r="H399" s="3" t="str">
        <f>"35"</f>
        <v>35</v>
      </c>
      <c r="I399" s="4">
        <v>28.12</v>
      </c>
      <c r="J399" s="2">
        <v>45881</v>
      </c>
      <c r="K399" s="1" t="s">
        <v>1266</v>
      </c>
    </row>
    <row r="400" spans="1:11" x14ac:dyDescent="0.35">
      <c r="A400" s="3" t="s">
        <v>806</v>
      </c>
      <c r="B400" s="1" t="s">
        <v>1079</v>
      </c>
      <c r="C400" s="1" t="s">
        <v>1277</v>
      </c>
      <c r="D400" s="1" t="str">
        <f>"8415"</f>
        <v>8415</v>
      </c>
      <c r="E400" s="1" t="str">
        <f>"014618341"</f>
        <v>014618341</v>
      </c>
      <c r="F400" s="1" t="s">
        <v>841</v>
      </c>
      <c r="G400" s="3" t="s">
        <v>15</v>
      </c>
      <c r="H400" s="3" t="str">
        <f>"2"</f>
        <v>2</v>
      </c>
      <c r="I400" s="4">
        <v>60.87</v>
      </c>
      <c r="J400" s="2">
        <v>45881</v>
      </c>
      <c r="K400" s="1" t="s">
        <v>1278</v>
      </c>
    </row>
    <row r="401" spans="1:11" x14ac:dyDescent="0.35">
      <c r="A401" s="3" t="s">
        <v>806</v>
      </c>
      <c r="B401" s="1" t="s">
        <v>1079</v>
      </c>
      <c r="C401" s="1" t="s">
        <v>1290</v>
      </c>
      <c r="D401" s="1" t="str">
        <f>"8465"</f>
        <v>8465</v>
      </c>
      <c r="E401" s="1" t="str">
        <f>"015250578"</f>
        <v>015250578</v>
      </c>
      <c r="F401" s="1" t="s">
        <v>1066</v>
      </c>
      <c r="G401" s="3" t="s">
        <v>58</v>
      </c>
      <c r="H401" s="3" t="str">
        <f>"4"</f>
        <v>4</v>
      </c>
      <c r="I401" s="4">
        <v>336.04</v>
      </c>
      <c r="J401" s="2">
        <v>45881</v>
      </c>
      <c r="K401" s="1" t="s">
        <v>1291</v>
      </c>
    </row>
    <row r="402" spans="1:11" x14ac:dyDescent="0.35">
      <c r="A402" s="3" t="s">
        <v>806</v>
      </c>
      <c r="B402" s="1" t="s">
        <v>1079</v>
      </c>
      <c r="C402" s="1" t="s">
        <v>1299</v>
      </c>
      <c r="D402" s="1" t="str">
        <f>"9515"</f>
        <v>9515</v>
      </c>
      <c r="E402" s="1" t="str">
        <f>"005288772"</f>
        <v>005288772</v>
      </c>
      <c r="F402" s="1" t="s">
        <v>1300</v>
      </c>
      <c r="G402" s="3" t="s">
        <v>1294</v>
      </c>
      <c r="H402" s="3" t="str">
        <f>"20"</f>
        <v>20</v>
      </c>
      <c r="I402" s="4">
        <v>76.989999999999995</v>
      </c>
      <c r="J402" s="2">
        <v>45881</v>
      </c>
      <c r="K402" s="1" t="s">
        <v>1301</v>
      </c>
    </row>
    <row r="403" spans="1:11" x14ac:dyDescent="0.35">
      <c r="A403" s="3" t="s">
        <v>806</v>
      </c>
      <c r="B403" s="1" t="s">
        <v>1079</v>
      </c>
      <c r="C403" s="1" t="s">
        <v>1310</v>
      </c>
      <c r="D403" s="1" t="str">
        <f>"9930"</f>
        <v>9930</v>
      </c>
      <c r="E403" s="1" t="str">
        <f>"013316244"</f>
        <v>013316244</v>
      </c>
      <c r="F403" s="1" t="s">
        <v>1311</v>
      </c>
      <c r="G403" s="3" t="s">
        <v>15</v>
      </c>
      <c r="H403" s="3" t="str">
        <f>"11"</f>
        <v>11</v>
      </c>
      <c r="I403" s="4">
        <v>58.03</v>
      </c>
      <c r="J403" s="2">
        <v>45881</v>
      </c>
      <c r="K403" s="1" t="s">
        <v>1312</v>
      </c>
    </row>
    <row r="404" spans="1:11" x14ac:dyDescent="0.35">
      <c r="A404" s="3" t="s">
        <v>806</v>
      </c>
      <c r="B404" s="1" t="s">
        <v>818</v>
      </c>
      <c r="C404" s="1" t="s">
        <v>822</v>
      </c>
      <c r="D404" s="1" t="str">
        <f>"2310"</f>
        <v>2310</v>
      </c>
      <c r="E404" s="1" t="str">
        <f>"010907739"</f>
        <v>010907739</v>
      </c>
      <c r="F404" s="1" t="s">
        <v>410</v>
      </c>
      <c r="G404" s="3" t="s">
        <v>15</v>
      </c>
      <c r="H404" s="3" t="str">
        <f>"1"</f>
        <v>1</v>
      </c>
      <c r="I404" s="4" t="str">
        <f>"9176"</f>
        <v>9176</v>
      </c>
      <c r="J404" s="2">
        <v>45876</v>
      </c>
      <c r="K404" s="1" t="s">
        <v>823</v>
      </c>
    </row>
    <row r="405" spans="1:11" x14ac:dyDescent="0.35">
      <c r="A405" s="3" t="s">
        <v>806</v>
      </c>
      <c r="B405" s="1" t="s">
        <v>818</v>
      </c>
      <c r="C405" s="1" t="s">
        <v>824</v>
      </c>
      <c r="D405" s="1" t="str">
        <f>"2310"</f>
        <v>2310</v>
      </c>
      <c r="E405" s="1" t="str">
        <f>"010907739"</f>
        <v>010907739</v>
      </c>
      <c r="F405" s="1" t="s">
        <v>410</v>
      </c>
      <c r="G405" s="3" t="s">
        <v>15</v>
      </c>
      <c r="H405" s="3" t="str">
        <f>"1"</f>
        <v>1</v>
      </c>
      <c r="I405" s="4" t="str">
        <f>"9176"</f>
        <v>9176</v>
      </c>
      <c r="J405" s="2">
        <v>45876</v>
      </c>
      <c r="K405" s="1" t="s">
        <v>823</v>
      </c>
    </row>
    <row r="406" spans="1:11" x14ac:dyDescent="0.35">
      <c r="A406" s="3" t="s">
        <v>806</v>
      </c>
      <c r="B406" s="1" t="s">
        <v>941</v>
      </c>
      <c r="C406" s="1" t="s">
        <v>951</v>
      </c>
      <c r="D406" s="1" t="str">
        <f>"8145"</f>
        <v>8145</v>
      </c>
      <c r="E406" s="1" t="str">
        <f>"015196931"</f>
        <v>015196931</v>
      </c>
      <c r="F406" s="1" t="s">
        <v>599</v>
      </c>
      <c r="G406" s="3" t="s">
        <v>15</v>
      </c>
      <c r="H406" s="3" t="str">
        <f>"2"</f>
        <v>2</v>
      </c>
      <c r="I406" s="4">
        <v>377.07</v>
      </c>
      <c r="J406" s="2">
        <v>45876</v>
      </c>
      <c r="K406" s="1" t="s">
        <v>952</v>
      </c>
    </row>
    <row r="407" spans="1:11" x14ac:dyDescent="0.35">
      <c r="A407" s="3" t="s">
        <v>806</v>
      </c>
      <c r="B407" s="1" t="s">
        <v>941</v>
      </c>
      <c r="C407" s="1" t="s">
        <v>953</v>
      </c>
      <c r="D407" s="1" t="str">
        <f>"8145"</f>
        <v>8145</v>
      </c>
      <c r="E407" s="1" t="str">
        <f>"015196931"</f>
        <v>015196931</v>
      </c>
      <c r="F407" s="1" t="s">
        <v>599</v>
      </c>
      <c r="G407" s="3" t="s">
        <v>15</v>
      </c>
      <c r="H407" s="3" t="str">
        <f>"2"</f>
        <v>2</v>
      </c>
      <c r="I407" s="4">
        <v>377.07</v>
      </c>
      <c r="J407" s="2">
        <v>45876</v>
      </c>
      <c r="K407" s="1" t="s">
        <v>952</v>
      </c>
    </row>
    <row r="408" spans="1:11" x14ac:dyDescent="0.35">
      <c r="A408" s="3" t="s">
        <v>806</v>
      </c>
      <c r="B408" s="1" t="s">
        <v>941</v>
      </c>
      <c r="C408" s="1" t="s">
        <v>954</v>
      </c>
      <c r="D408" s="1" t="str">
        <f>"8340"</f>
        <v>8340</v>
      </c>
      <c r="E408" s="1" t="str">
        <f>"014525919"</f>
        <v>014525919</v>
      </c>
      <c r="F408" s="1" t="s">
        <v>760</v>
      </c>
      <c r="G408" s="3" t="s">
        <v>15</v>
      </c>
      <c r="H408" s="3" t="str">
        <f>"8"</f>
        <v>8</v>
      </c>
      <c r="I408" s="4">
        <v>541.1</v>
      </c>
      <c r="J408" s="2">
        <v>45876</v>
      </c>
      <c r="K408" s="1" t="s">
        <v>955</v>
      </c>
    </row>
    <row r="409" spans="1:11" x14ac:dyDescent="0.35">
      <c r="A409" s="3" t="s">
        <v>806</v>
      </c>
      <c r="B409" s="1" t="s">
        <v>941</v>
      </c>
      <c r="C409" s="1" t="s">
        <v>956</v>
      </c>
      <c r="D409" s="1" t="str">
        <f>"8340"</f>
        <v>8340</v>
      </c>
      <c r="E409" s="1" t="str">
        <f>"016288864"</f>
        <v>016288864</v>
      </c>
      <c r="F409" s="1" t="s">
        <v>957</v>
      </c>
      <c r="G409" s="3" t="s">
        <v>15</v>
      </c>
      <c r="H409" s="3" t="str">
        <f>"22"</f>
        <v>22</v>
      </c>
      <c r="I409" s="4">
        <v>381.79</v>
      </c>
      <c r="J409" s="2">
        <v>45876</v>
      </c>
      <c r="K409" s="1" t="s">
        <v>958</v>
      </c>
    </row>
    <row r="410" spans="1:11" x14ac:dyDescent="0.35">
      <c r="A410" s="3" t="s">
        <v>806</v>
      </c>
      <c r="B410" s="1" t="s">
        <v>941</v>
      </c>
      <c r="C410" s="1" t="s">
        <v>959</v>
      </c>
      <c r="D410" s="1" t="str">
        <f>"8340"</f>
        <v>8340</v>
      </c>
      <c r="E410" s="1" t="str">
        <f>"016288864"</f>
        <v>016288864</v>
      </c>
      <c r="F410" s="1" t="s">
        <v>957</v>
      </c>
      <c r="G410" s="3" t="s">
        <v>15</v>
      </c>
      <c r="H410" s="3" t="str">
        <f>"20"</f>
        <v>20</v>
      </c>
      <c r="I410" s="4">
        <v>381.79</v>
      </c>
      <c r="J410" s="2">
        <v>45876</v>
      </c>
      <c r="K410" s="1" t="s">
        <v>958</v>
      </c>
    </row>
    <row r="411" spans="1:11" x14ac:dyDescent="0.35">
      <c r="A411" s="3" t="s">
        <v>806</v>
      </c>
      <c r="B411" s="1" t="s">
        <v>941</v>
      </c>
      <c r="C411" s="1" t="s">
        <v>960</v>
      </c>
      <c r="D411" s="1" t="str">
        <f>"8340"</f>
        <v>8340</v>
      </c>
      <c r="E411" s="1" t="s">
        <v>961</v>
      </c>
      <c r="F411" s="1" t="s">
        <v>957</v>
      </c>
      <c r="G411" s="3" t="s">
        <v>15</v>
      </c>
      <c r="H411" s="3" t="str">
        <f>"21"</f>
        <v>21</v>
      </c>
      <c r="I411" s="4">
        <v>272.99</v>
      </c>
      <c r="J411" s="2">
        <v>45876</v>
      </c>
      <c r="K411" s="1" t="s">
        <v>958</v>
      </c>
    </row>
    <row r="412" spans="1:11" x14ac:dyDescent="0.35">
      <c r="A412" s="3" t="s">
        <v>806</v>
      </c>
      <c r="B412" s="1" t="s">
        <v>941</v>
      </c>
      <c r="C412" s="1" t="s">
        <v>962</v>
      </c>
      <c r="D412" s="1" t="str">
        <f>"8340"</f>
        <v>8340</v>
      </c>
      <c r="E412" s="1" t="str">
        <f>"016288855"</f>
        <v>016288855</v>
      </c>
      <c r="F412" s="1" t="s">
        <v>957</v>
      </c>
      <c r="G412" s="3" t="s">
        <v>15</v>
      </c>
      <c r="H412" s="3" t="str">
        <f>"2"</f>
        <v>2</v>
      </c>
      <c r="I412" s="4">
        <v>395.44</v>
      </c>
      <c r="J412" s="2">
        <v>45876</v>
      </c>
      <c r="K412" s="1" t="s">
        <v>955</v>
      </c>
    </row>
    <row r="413" spans="1:11" x14ac:dyDescent="0.35">
      <c r="A413" s="3" t="s">
        <v>806</v>
      </c>
      <c r="B413" s="1" t="s">
        <v>941</v>
      </c>
      <c r="C413" s="1" t="s">
        <v>963</v>
      </c>
      <c r="D413" s="1" t="str">
        <f>"8405"</f>
        <v>8405</v>
      </c>
      <c r="E413" s="1" t="str">
        <f>"015472559"</f>
        <v>015472559</v>
      </c>
      <c r="F413" s="1" t="s">
        <v>964</v>
      </c>
      <c r="G413" s="3" t="s">
        <v>15</v>
      </c>
      <c r="H413" s="3" t="str">
        <f>"30"</f>
        <v>30</v>
      </c>
      <c r="I413" s="4">
        <v>39.92</v>
      </c>
      <c r="J413" s="2">
        <v>45876</v>
      </c>
      <c r="K413" s="1" t="s">
        <v>965</v>
      </c>
    </row>
    <row r="414" spans="1:11" x14ac:dyDescent="0.35">
      <c r="A414" s="3" t="s">
        <v>806</v>
      </c>
      <c r="B414" s="1" t="s">
        <v>941</v>
      </c>
      <c r="C414" s="1" t="s">
        <v>966</v>
      </c>
      <c r="D414" s="1" t="str">
        <f>"8415"</f>
        <v>8415</v>
      </c>
      <c r="E414" s="1" t="str">
        <f>"015801341"</f>
        <v>015801341</v>
      </c>
      <c r="F414" s="1" t="s">
        <v>839</v>
      </c>
      <c r="G414" s="3" t="s">
        <v>15</v>
      </c>
      <c r="H414" s="3" t="str">
        <f>"16"</f>
        <v>16</v>
      </c>
      <c r="I414" s="4">
        <v>81.66</v>
      </c>
      <c r="J414" s="2">
        <v>45876</v>
      </c>
      <c r="K414" s="1" t="s">
        <v>955</v>
      </c>
    </row>
    <row r="415" spans="1:11" x14ac:dyDescent="0.35">
      <c r="A415" s="3" t="s">
        <v>806</v>
      </c>
      <c r="B415" s="1" t="s">
        <v>941</v>
      </c>
      <c r="C415" s="1" t="s">
        <v>967</v>
      </c>
      <c r="D415" s="1" t="str">
        <f>"8415"</f>
        <v>8415</v>
      </c>
      <c r="E415" s="1" t="str">
        <f>"007822888"</f>
        <v>007822888</v>
      </c>
      <c r="F415" s="1" t="s">
        <v>968</v>
      </c>
      <c r="G415" s="3" t="s">
        <v>15</v>
      </c>
      <c r="H415" s="3" t="str">
        <f>"18"</f>
        <v>18</v>
      </c>
      <c r="I415" s="4">
        <v>21.7</v>
      </c>
      <c r="J415" s="2">
        <v>45876</v>
      </c>
      <c r="K415" s="1" t="s">
        <v>955</v>
      </c>
    </row>
    <row r="416" spans="1:11" x14ac:dyDescent="0.35">
      <c r="A416" s="3" t="s">
        <v>806</v>
      </c>
      <c r="B416" s="1" t="s">
        <v>941</v>
      </c>
      <c r="C416" s="1" t="s">
        <v>969</v>
      </c>
      <c r="D416" s="1" t="str">
        <f>"8415"</f>
        <v>8415</v>
      </c>
      <c r="E416" s="1" t="str">
        <f>"015802190"</f>
        <v>015802190</v>
      </c>
      <c r="F416" s="1" t="s">
        <v>970</v>
      </c>
      <c r="G416" s="3" t="s">
        <v>847</v>
      </c>
      <c r="H416" s="3" t="str">
        <f>"1"</f>
        <v>1</v>
      </c>
      <c r="I416" s="4">
        <v>123.49</v>
      </c>
      <c r="J416" s="2">
        <v>45876</v>
      </c>
      <c r="K416" s="1" t="s">
        <v>971</v>
      </c>
    </row>
    <row r="417" spans="1:11" x14ac:dyDescent="0.35">
      <c r="A417" s="3" t="s">
        <v>806</v>
      </c>
      <c r="B417" s="1" t="s">
        <v>941</v>
      </c>
      <c r="C417" s="1" t="s">
        <v>972</v>
      </c>
      <c r="D417" s="1" t="str">
        <f>"8415"</f>
        <v>8415</v>
      </c>
      <c r="E417" s="1" t="str">
        <f>"015386308"</f>
        <v>015386308</v>
      </c>
      <c r="F417" s="1" t="s">
        <v>973</v>
      </c>
      <c r="G417" s="3" t="s">
        <v>15</v>
      </c>
      <c r="H417" s="3" t="str">
        <f>"2"</f>
        <v>2</v>
      </c>
      <c r="I417" s="4">
        <v>143.46</v>
      </c>
      <c r="J417" s="2">
        <v>45876</v>
      </c>
      <c r="K417" s="1" t="s">
        <v>965</v>
      </c>
    </row>
    <row r="418" spans="1:11" x14ac:dyDescent="0.35">
      <c r="A418" s="3" t="s">
        <v>806</v>
      </c>
      <c r="B418" s="1" t="s">
        <v>941</v>
      </c>
      <c r="C418" s="1" t="s">
        <v>974</v>
      </c>
      <c r="D418" s="1" t="str">
        <f>"8465"</f>
        <v>8465</v>
      </c>
      <c r="E418" s="1" t="str">
        <f>"016797717"</f>
        <v>016797717</v>
      </c>
      <c r="F418" s="1" t="s">
        <v>975</v>
      </c>
      <c r="G418" s="3" t="s">
        <v>15</v>
      </c>
      <c r="H418" s="3" t="str">
        <f>"4"</f>
        <v>4</v>
      </c>
      <c r="I418" s="4">
        <v>386.91</v>
      </c>
      <c r="J418" s="2">
        <v>45876</v>
      </c>
      <c r="K418" s="1" t="s">
        <v>955</v>
      </c>
    </row>
    <row r="419" spans="1:11" x14ac:dyDescent="0.35">
      <c r="A419" s="3" t="s">
        <v>806</v>
      </c>
      <c r="B419" s="1" t="s">
        <v>941</v>
      </c>
      <c r="C419" s="1" t="s">
        <v>976</v>
      </c>
      <c r="D419" s="1" t="str">
        <f>"8465"</f>
        <v>8465</v>
      </c>
      <c r="E419" s="1" t="str">
        <f>"016797717"</f>
        <v>016797717</v>
      </c>
      <c r="F419" s="1" t="s">
        <v>975</v>
      </c>
      <c r="G419" s="3" t="s">
        <v>15</v>
      </c>
      <c r="H419" s="3" t="str">
        <f>"1"</f>
        <v>1</v>
      </c>
      <c r="I419" s="4">
        <v>386.91</v>
      </c>
      <c r="J419" s="2">
        <v>45876</v>
      </c>
      <c r="K419" s="1" t="s">
        <v>955</v>
      </c>
    </row>
    <row r="420" spans="1:11" x14ac:dyDescent="0.35">
      <c r="A420" s="3" t="s">
        <v>806</v>
      </c>
      <c r="B420" s="1" t="s">
        <v>941</v>
      </c>
      <c r="C420" s="1" t="s">
        <v>977</v>
      </c>
      <c r="D420" s="1" t="str">
        <f>"8465"</f>
        <v>8465</v>
      </c>
      <c r="E420" s="1" t="str">
        <f>"016797709"</f>
        <v>016797709</v>
      </c>
      <c r="F420" s="1" t="s">
        <v>975</v>
      </c>
      <c r="G420" s="3" t="s">
        <v>15</v>
      </c>
      <c r="H420" s="3" t="str">
        <f>"1"</f>
        <v>1</v>
      </c>
      <c r="I420" s="4">
        <v>375.67</v>
      </c>
      <c r="J420" s="2">
        <v>45876</v>
      </c>
      <c r="K420" s="1" t="s">
        <v>955</v>
      </c>
    </row>
    <row r="421" spans="1:11" x14ac:dyDescent="0.35">
      <c r="A421" s="3" t="s">
        <v>806</v>
      </c>
      <c r="B421" s="1" t="s">
        <v>941</v>
      </c>
      <c r="C421" s="1" t="s">
        <v>978</v>
      </c>
      <c r="D421" s="1" t="str">
        <f>"8465"</f>
        <v>8465</v>
      </c>
      <c r="E421" s="1" t="str">
        <f>"016087503"</f>
        <v>016087503</v>
      </c>
      <c r="F421" s="1" t="s">
        <v>979</v>
      </c>
      <c r="G421" s="3" t="s">
        <v>15</v>
      </c>
      <c r="H421" s="3" t="str">
        <f>"1"</f>
        <v>1</v>
      </c>
      <c r="I421" s="4">
        <v>145.28</v>
      </c>
      <c r="J421" s="2">
        <v>45876</v>
      </c>
      <c r="K421" s="1" t="s">
        <v>955</v>
      </c>
    </row>
    <row r="422" spans="1:11" x14ac:dyDescent="0.35">
      <c r="A422" s="3" t="s">
        <v>806</v>
      </c>
      <c r="B422" s="1" t="s">
        <v>941</v>
      </c>
      <c r="C422" s="1" t="s">
        <v>980</v>
      </c>
      <c r="D422" s="1" t="str">
        <f>"8465"</f>
        <v>8465</v>
      </c>
      <c r="E422" s="1" t="str">
        <f>"016416977"</f>
        <v>016416977</v>
      </c>
      <c r="F422" s="1" t="s">
        <v>981</v>
      </c>
      <c r="G422" s="3" t="s">
        <v>58</v>
      </c>
      <c r="H422" s="3" t="str">
        <f>"1"</f>
        <v>1</v>
      </c>
      <c r="I422" s="4">
        <v>382.84</v>
      </c>
      <c r="J422" s="2">
        <v>45876</v>
      </c>
      <c r="K422" s="1" t="s">
        <v>955</v>
      </c>
    </row>
    <row r="423" spans="1:11" x14ac:dyDescent="0.35">
      <c r="A423" s="3" t="s">
        <v>806</v>
      </c>
      <c r="B423" s="1" t="s">
        <v>941</v>
      </c>
      <c r="C423" s="1" t="s">
        <v>982</v>
      </c>
      <c r="D423" s="1" t="str">
        <f>"8465"</f>
        <v>8465</v>
      </c>
      <c r="E423" s="1" t="str">
        <f>"016416353"</f>
        <v>016416353</v>
      </c>
      <c r="F423" s="1" t="s">
        <v>637</v>
      </c>
      <c r="G423" s="3" t="s">
        <v>58</v>
      </c>
      <c r="H423" s="3" t="str">
        <f>"8"</f>
        <v>8</v>
      </c>
      <c r="I423" s="4">
        <v>234.01</v>
      </c>
      <c r="J423" s="2">
        <v>45876</v>
      </c>
      <c r="K423" s="1" t="s">
        <v>955</v>
      </c>
    </row>
    <row r="424" spans="1:11" x14ac:dyDescent="0.35">
      <c r="A424" s="3" t="s">
        <v>806</v>
      </c>
      <c r="B424" s="1" t="s">
        <v>941</v>
      </c>
      <c r="C424" s="1" t="s">
        <v>983</v>
      </c>
      <c r="D424" s="1" t="str">
        <f>"8465"</f>
        <v>8465</v>
      </c>
      <c r="E424" s="1" t="str">
        <f>"013980685"</f>
        <v>013980685</v>
      </c>
      <c r="F424" s="1" t="s">
        <v>854</v>
      </c>
      <c r="G424" s="3" t="s">
        <v>15</v>
      </c>
      <c r="H424" s="3" t="str">
        <f>"10"</f>
        <v>10</v>
      </c>
      <c r="I424" s="4">
        <v>47.26</v>
      </c>
      <c r="J424" s="2">
        <v>45876</v>
      </c>
      <c r="K424" s="1" t="s">
        <v>955</v>
      </c>
    </row>
    <row r="425" spans="1:11" x14ac:dyDescent="0.35">
      <c r="A425" s="3" t="s">
        <v>806</v>
      </c>
      <c r="B425" s="1" t="s">
        <v>941</v>
      </c>
      <c r="C425" s="1" t="s">
        <v>984</v>
      </c>
      <c r="D425" s="1" t="str">
        <f>"8465"</f>
        <v>8465</v>
      </c>
      <c r="E425" s="1" t="str">
        <f>"013980687"</f>
        <v>013980687</v>
      </c>
      <c r="F425" s="1" t="s">
        <v>854</v>
      </c>
      <c r="G425" s="3" t="s">
        <v>15</v>
      </c>
      <c r="H425" s="3" t="str">
        <f>"8"</f>
        <v>8</v>
      </c>
      <c r="I425" s="4">
        <v>65.8</v>
      </c>
      <c r="J425" s="2">
        <v>45876</v>
      </c>
      <c r="K425" s="1" t="s">
        <v>955</v>
      </c>
    </row>
    <row r="426" spans="1:11" x14ac:dyDescent="0.35">
      <c r="A426" s="3" t="s">
        <v>806</v>
      </c>
      <c r="B426" s="1" t="s">
        <v>941</v>
      </c>
      <c r="C426" s="1" t="s">
        <v>985</v>
      </c>
      <c r="D426" s="1" t="str">
        <f>"8465"</f>
        <v>8465</v>
      </c>
      <c r="E426" s="1" t="str">
        <f>"013936515"</f>
        <v>013936515</v>
      </c>
      <c r="F426" s="1" t="s">
        <v>849</v>
      </c>
      <c r="G426" s="3" t="s">
        <v>15</v>
      </c>
      <c r="H426" s="3" t="str">
        <f>"17"</f>
        <v>17</v>
      </c>
      <c r="I426" s="4">
        <v>56.45</v>
      </c>
      <c r="J426" s="2">
        <v>45876</v>
      </c>
      <c r="K426" s="1" t="s">
        <v>955</v>
      </c>
    </row>
    <row r="427" spans="1:11" x14ac:dyDescent="0.35">
      <c r="A427" s="3" t="s">
        <v>806</v>
      </c>
      <c r="B427" s="1" t="s">
        <v>941</v>
      </c>
      <c r="C427" s="1" t="s">
        <v>986</v>
      </c>
      <c r="D427" s="1" t="str">
        <f>"8465"</f>
        <v>8465</v>
      </c>
      <c r="E427" s="1" t="str">
        <f>"010490888"</f>
        <v>010490888</v>
      </c>
      <c r="F427" s="1" t="s">
        <v>854</v>
      </c>
      <c r="G427" s="3" t="s">
        <v>15</v>
      </c>
      <c r="H427" s="3" t="str">
        <f>"1"</f>
        <v>1</v>
      </c>
      <c r="I427" s="4">
        <v>72.53</v>
      </c>
      <c r="J427" s="2">
        <v>45876</v>
      </c>
      <c r="K427" s="1" t="s">
        <v>955</v>
      </c>
    </row>
    <row r="428" spans="1:11" x14ac:dyDescent="0.35">
      <c r="A428" s="3" t="s">
        <v>806</v>
      </c>
      <c r="B428" s="1" t="s">
        <v>941</v>
      </c>
      <c r="C428" s="1" t="s">
        <v>987</v>
      </c>
      <c r="D428" s="1" t="str">
        <f>"8465"</f>
        <v>8465</v>
      </c>
      <c r="E428" s="1" t="str">
        <f>"015472644"</f>
        <v>015472644</v>
      </c>
      <c r="F428" s="1" t="s">
        <v>988</v>
      </c>
      <c r="G428" s="3" t="s">
        <v>15</v>
      </c>
      <c r="H428" s="3" t="str">
        <f>"6"</f>
        <v>6</v>
      </c>
      <c r="I428" s="4">
        <v>131.53</v>
      </c>
      <c r="J428" s="2">
        <v>45876</v>
      </c>
      <c r="K428" s="1" t="s">
        <v>955</v>
      </c>
    </row>
    <row r="429" spans="1:11" x14ac:dyDescent="0.35">
      <c r="A429" s="3" t="s">
        <v>806</v>
      </c>
      <c r="B429" s="1" t="s">
        <v>941</v>
      </c>
      <c r="C429" s="1" t="s">
        <v>989</v>
      </c>
      <c r="D429" s="1" t="str">
        <f>"8465"</f>
        <v>8465</v>
      </c>
      <c r="E429" s="1" t="str">
        <f>"015472706"</f>
        <v>015472706</v>
      </c>
      <c r="F429" s="1" t="s">
        <v>854</v>
      </c>
      <c r="G429" s="3" t="s">
        <v>15</v>
      </c>
      <c r="H429" s="3" t="str">
        <f>"6"</f>
        <v>6</v>
      </c>
      <c r="I429" s="4">
        <v>68.84</v>
      </c>
      <c r="J429" s="2">
        <v>45876</v>
      </c>
      <c r="K429" s="1" t="s">
        <v>955</v>
      </c>
    </row>
    <row r="430" spans="1:11" x14ac:dyDescent="0.35">
      <c r="A430" s="3" t="s">
        <v>806</v>
      </c>
      <c r="B430" s="1" t="s">
        <v>941</v>
      </c>
      <c r="C430" s="1" t="s">
        <v>990</v>
      </c>
      <c r="D430" s="1" t="str">
        <f>"8465"</f>
        <v>8465</v>
      </c>
      <c r="E430" s="1" t="str">
        <f>"015472694"</f>
        <v>015472694</v>
      </c>
      <c r="F430" s="1" t="s">
        <v>854</v>
      </c>
      <c r="G430" s="3" t="s">
        <v>15</v>
      </c>
      <c r="H430" s="3" t="str">
        <f>"16"</f>
        <v>16</v>
      </c>
      <c r="I430" s="4">
        <v>100.15</v>
      </c>
      <c r="J430" s="2">
        <v>45876</v>
      </c>
      <c r="K430" s="1" t="s">
        <v>955</v>
      </c>
    </row>
    <row r="431" spans="1:11" x14ac:dyDescent="0.35">
      <c r="A431" s="3" t="s">
        <v>806</v>
      </c>
      <c r="B431" s="1" t="s">
        <v>941</v>
      </c>
      <c r="C431" s="1" t="s">
        <v>991</v>
      </c>
      <c r="D431" s="1" t="str">
        <f>"8465"</f>
        <v>8465</v>
      </c>
      <c r="E431" s="1" t="str">
        <f>"010338057"</f>
        <v>010338057</v>
      </c>
      <c r="F431" s="1" t="s">
        <v>854</v>
      </c>
      <c r="G431" s="3" t="s">
        <v>15</v>
      </c>
      <c r="H431" s="3" t="str">
        <f>"8"</f>
        <v>8</v>
      </c>
      <c r="I431" s="4">
        <v>110.81</v>
      </c>
      <c r="J431" s="2">
        <v>45876</v>
      </c>
      <c r="K431" s="1" t="s">
        <v>955</v>
      </c>
    </row>
    <row r="432" spans="1:11" x14ac:dyDescent="0.35">
      <c r="A432" s="3" t="s">
        <v>806</v>
      </c>
      <c r="B432" s="1" t="s">
        <v>941</v>
      </c>
      <c r="C432" s="1" t="s">
        <v>992</v>
      </c>
      <c r="D432" s="1" t="str">
        <f>"8465"</f>
        <v>8465</v>
      </c>
      <c r="E432" s="1" t="str">
        <f>"014168517"</f>
        <v>014168517</v>
      </c>
      <c r="F432" s="1" t="s">
        <v>993</v>
      </c>
      <c r="G432" s="3" t="s">
        <v>15</v>
      </c>
      <c r="H432" s="3" t="str">
        <f>"14"</f>
        <v>14</v>
      </c>
      <c r="I432" s="4">
        <v>152.18</v>
      </c>
      <c r="J432" s="2">
        <v>45876</v>
      </c>
      <c r="K432" s="1" t="s">
        <v>955</v>
      </c>
    </row>
    <row r="433" spans="1:11" x14ac:dyDescent="0.35">
      <c r="A433" s="3" t="s">
        <v>806</v>
      </c>
      <c r="B433" s="1" t="s">
        <v>870</v>
      </c>
      <c r="C433" s="1" t="s">
        <v>882</v>
      </c>
      <c r="D433" s="1" t="str">
        <f>"6545"</f>
        <v>6545</v>
      </c>
      <c r="E433" s="1" t="str">
        <f>"015300929"</f>
        <v>015300929</v>
      </c>
      <c r="F433" s="1" t="s">
        <v>293</v>
      </c>
      <c r="G433" s="3" t="s">
        <v>19</v>
      </c>
      <c r="H433" s="3" t="str">
        <f>"242"</f>
        <v>242</v>
      </c>
      <c r="I433" s="4">
        <v>62.81</v>
      </c>
      <c r="J433" s="2">
        <v>45875</v>
      </c>
      <c r="K433" s="1" t="s">
        <v>883</v>
      </c>
    </row>
    <row r="434" spans="1:11" x14ac:dyDescent="0.35">
      <c r="A434" s="3" t="s">
        <v>806</v>
      </c>
      <c r="B434" s="1" t="s">
        <v>870</v>
      </c>
      <c r="C434" s="1" t="s">
        <v>912</v>
      </c>
      <c r="D434" s="1" t="str">
        <f>"8415"</f>
        <v>8415</v>
      </c>
      <c r="E434" s="1" t="str">
        <f>"015476800"</f>
        <v>015476800</v>
      </c>
      <c r="F434" s="1" t="s">
        <v>913</v>
      </c>
      <c r="G434" s="3" t="s">
        <v>15</v>
      </c>
      <c r="H434" s="3" t="str">
        <f>"76"</f>
        <v>76</v>
      </c>
      <c r="I434" s="4">
        <v>22.83</v>
      </c>
      <c r="J434" s="2">
        <v>45875</v>
      </c>
      <c r="K434" s="1" t="s">
        <v>914</v>
      </c>
    </row>
    <row r="435" spans="1:11" x14ac:dyDescent="0.35">
      <c r="A435" s="3" t="s">
        <v>806</v>
      </c>
      <c r="B435" s="1" t="s">
        <v>870</v>
      </c>
      <c r="C435" s="1" t="s">
        <v>915</v>
      </c>
      <c r="D435" s="1" t="str">
        <f>"8415"</f>
        <v>8415</v>
      </c>
      <c r="E435" s="1" t="str">
        <f>"015387787"</f>
        <v>015387787</v>
      </c>
      <c r="F435" s="1" t="s">
        <v>913</v>
      </c>
      <c r="G435" s="3" t="s">
        <v>15</v>
      </c>
      <c r="H435" s="3" t="str">
        <f>"187"</f>
        <v>187</v>
      </c>
      <c r="I435" s="4">
        <v>22.83</v>
      </c>
      <c r="J435" s="2">
        <v>45875</v>
      </c>
      <c r="K435" s="1" t="s">
        <v>914</v>
      </c>
    </row>
    <row r="436" spans="1:11" x14ac:dyDescent="0.35">
      <c r="A436" s="3" t="s">
        <v>806</v>
      </c>
      <c r="B436" s="1" t="s">
        <v>1000</v>
      </c>
      <c r="C436" s="1" t="s">
        <v>1001</v>
      </c>
      <c r="D436" s="1" t="str">
        <f>"1005"</f>
        <v>1005</v>
      </c>
      <c r="E436" s="1" t="str">
        <f>"014533783"</f>
        <v>014533783</v>
      </c>
      <c r="F436" s="1" t="s">
        <v>139</v>
      </c>
      <c r="G436" s="3" t="s">
        <v>19</v>
      </c>
      <c r="H436" s="3" t="str">
        <f>"1"</f>
        <v>1</v>
      </c>
      <c r="I436" s="4">
        <v>182.11</v>
      </c>
      <c r="J436" s="2">
        <v>45870</v>
      </c>
      <c r="K436" s="1" t="s">
        <v>1002</v>
      </c>
    </row>
    <row r="437" spans="1:11" x14ac:dyDescent="0.35">
      <c r="A437" s="3" t="s">
        <v>806</v>
      </c>
      <c r="B437" s="1" t="s">
        <v>1000</v>
      </c>
      <c r="C437" s="1" t="s">
        <v>1003</v>
      </c>
      <c r="D437" s="1" t="str">
        <f>"1005"</f>
        <v>1005</v>
      </c>
      <c r="E437" s="1" t="str">
        <f>"014488513"</f>
        <v>014488513</v>
      </c>
      <c r="F437" s="1" t="s">
        <v>1004</v>
      </c>
      <c r="G437" s="3" t="s">
        <v>15</v>
      </c>
      <c r="H437" s="3" t="str">
        <f>"4"</f>
        <v>4</v>
      </c>
      <c r="I437" s="4">
        <v>118.28</v>
      </c>
      <c r="J437" s="2">
        <v>45870</v>
      </c>
      <c r="K437" s="1" t="s">
        <v>1002</v>
      </c>
    </row>
    <row r="438" spans="1:11" x14ac:dyDescent="0.35">
      <c r="A438" s="3" t="s">
        <v>806</v>
      </c>
      <c r="B438" s="1" t="s">
        <v>1000</v>
      </c>
      <c r="C438" s="1" t="s">
        <v>1017</v>
      </c>
      <c r="D438" s="1" t="str">
        <f>"1005"</f>
        <v>1005</v>
      </c>
      <c r="E438" s="1" t="str">
        <f>"014242999"</f>
        <v>014242999</v>
      </c>
      <c r="F438" s="1" t="s">
        <v>139</v>
      </c>
      <c r="G438" s="3" t="s">
        <v>19</v>
      </c>
      <c r="H438" s="3" t="str">
        <f>"2"</f>
        <v>2</v>
      </c>
      <c r="I438" s="4">
        <v>65.3</v>
      </c>
      <c r="J438" s="2">
        <v>45870</v>
      </c>
      <c r="K438" s="1" t="s">
        <v>1002</v>
      </c>
    </row>
    <row r="439" spans="1:11" x14ac:dyDescent="0.35">
      <c r="A439" s="3" t="s">
        <v>806</v>
      </c>
      <c r="B439" s="1" t="s">
        <v>1000</v>
      </c>
      <c r="C439" s="1" t="s">
        <v>1028</v>
      </c>
      <c r="D439" s="1" t="str">
        <f>"5120"</f>
        <v>5120</v>
      </c>
      <c r="E439" s="1" t="s">
        <v>1029</v>
      </c>
      <c r="F439" s="1" t="s">
        <v>1030</v>
      </c>
      <c r="G439" s="3" t="s">
        <v>15</v>
      </c>
      <c r="H439" s="3" t="str">
        <f>"10"</f>
        <v>10</v>
      </c>
      <c r="I439" s="4">
        <v>8.9700000000000006</v>
      </c>
      <c r="J439" s="2">
        <v>45870</v>
      </c>
      <c r="K439" s="1" t="s">
        <v>1031</v>
      </c>
    </row>
    <row r="440" spans="1:11" x14ac:dyDescent="0.35">
      <c r="A440" s="3" t="s">
        <v>806</v>
      </c>
      <c r="B440" s="1" t="s">
        <v>1000</v>
      </c>
      <c r="C440" s="1" t="s">
        <v>1032</v>
      </c>
      <c r="D440" s="1" t="str">
        <f>"5120"</f>
        <v>5120</v>
      </c>
      <c r="E440" s="1" t="s">
        <v>1033</v>
      </c>
      <c r="F440" s="1" t="s">
        <v>1034</v>
      </c>
      <c r="G440" s="3" t="s">
        <v>15</v>
      </c>
      <c r="H440" s="3" t="str">
        <f>"1"</f>
        <v>1</v>
      </c>
      <c r="I440" s="4">
        <v>49.99</v>
      </c>
      <c r="J440" s="2">
        <v>45870</v>
      </c>
      <c r="K440" s="1" t="s">
        <v>1035</v>
      </c>
    </row>
    <row r="441" spans="1:11" x14ac:dyDescent="0.35">
      <c r="A441" s="3" t="s">
        <v>806</v>
      </c>
      <c r="B441" s="1" t="s">
        <v>1000</v>
      </c>
      <c r="C441" s="1" t="s">
        <v>1036</v>
      </c>
      <c r="D441" s="1" t="str">
        <f>"5120"</f>
        <v>5120</v>
      </c>
      <c r="E441" s="1" t="str">
        <f>"013999029"</f>
        <v>013999029</v>
      </c>
      <c r="F441" s="1" t="s">
        <v>949</v>
      </c>
      <c r="G441" s="3" t="s">
        <v>15</v>
      </c>
      <c r="H441" s="3" t="str">
        <f>"1"</f>
        <v>1</v>
      </c>
      <c r="I441" s="4">
        <v>227.03</v>
      </c>
      <c r="J441" s="2">
        <v>45870</v>
      </c>
      <c r="K441" s="1" t="s">
        <v>1037</v>
      </c>
    </row>
    <row r="442" spans="1:11" x14ac:dyDescent="0.35">
      <c r="A442" s="3" t="s">
        <v>806</v>
      </c>
      <c r="B442" s="1" t="s">
        <v>1000</v>
      </c>
      <c r="C442" s="1" t="s">
        <v>1038</v>
      </c>
      <c r="D442" s="1" t="str">
        <f>"5140"</f>
        <v>5140</v>
      </c>
      <c r="E442" s="1" t="s">
        <v>1039</v>
      </c>
      <c r="F442" s="1" t="s">
        <v>1040</v>
      </c>
      <c r="G442" s="3" t="s">
        <v>15</v>
      </c>
      <c r="H442" s="3" t="str">
        <f>"3"</f>
        <v>3</v>
      </c>
      <c r="I442" s="4" t="str">
        <f>"20"</f>
        <v>20</v>
      </c>
      <c r="J442" s="2">
        <v>45870</v>
      </c>
      <c r="K442" s="1" t="s">
        <v>1041</v>
      </c>
    </row>
    <row r="443" spans="1:11" x14ac:dyDescent="0.35">
      <c r="A443" s="3" t="s">
        <v>806</v>
      </c>
      <c r="B443" s="1" t="s">
        <v>1000</v>
      </c>
      <c r="C443" s="1" t="s">
        <v>1050</v>
      </c>
      <c r="D443" s="1" t="str">
        <f>"8145"</f>
        <v>8145</v>
      </c>
      <c r="E443" s="1" t="s">
        <v>743</v>
      </c>
      <c r="F443" s="1" t="s">
        <v>744</v>
      </c>
      <c r="G443" s="3" t="s">
        <v>15</v>
      </c>
      <c r="H443" s="3" t="str">
        <f>"4"</f>
        <v>4</v>
      </c>
      <c r="I443" s="4" t="str">
        <f>"100"</f>
        <v>100</v>
      </c>
      <c r="J443" s="2">
        <v>45870</v>
      </c>
      <c r="K443" s="1" t="s">
        <v>1051</v>
      </c>
    </row>
    <row r="444" spans="1:11" x14ac:dyDescent="0.35">
      <c r="A444" s="3" t="s">
        <v>806</v>
      </c>
      <c r="B444" s="1" t="s">
        <v>818</v>
      </c>
      <c r="C444" s="1" t="s">
        <v>819</v>
      </c>
      <c r="D444" s="1" t="str">
        <f>"1005"</f>
        <v>1005</v>
      </c>
      <c r="E444" s="1" t="str">
        <f>"015729454"</f>
        <v>015729454</v>
      </c>
      <c r="F444" s="1" t="s">
        <v>139</v>
      </c>
      <c r="G444" s="3" t="s">
        <v>15</v>
      </c>
      <c r="H444" s="3" t="str">
        <f>"10"</f>
        <v>10</v>
      </c>
      <c r="I444" s="4">
        <v>98.9</v>
      </c>
      <c r="J444" s="2">
        <v>45862</v>
      </c>
      <c r="K444" s="1" t="s">
        <v>820</v>
      </c>
    </row>
    <row r="445" spans="1:11" x14ac:dyDescent="0.35">
      <c r="A445" s="3" t="s">
        <v>806</v>
      </c>
      <c r="B445" s="1" t="s">
        <v>818</v>
      </c>
      <c r="C445" s="1" t="s">
        <v>821</v>
      </c>
      <c r="D445" s="1" t="str">
        <f>"1005"</f>
        <v>1005</v>
      </c>
      <c r="E445" s="1" t="str">
        <f>"014242999"</f>
        <v>014242999</v>
      </c>
      <c r="F445" s="1" t="s">
        <v>139</v>
      </c>
      <c r="G445" s="3" t="s">
        <v>19</v>
      </c>
      <c r="H445" s="3" t="str">
        <f>"2"</f>
        <v>2</v>
      </c>
      <c r="I445" s="4">
        <v>65.3</v>
      </c>
      <c r="J445" s="2">
        <v>45862</v>
      </c>
      <c r="K445" s="1" t="s">
        <v>820</v>
      </c>
    </row>
    <row r="446" spans="1:11" x14ac:dyDescent="0.35">
      <c r="A446" s="3" t="s">
        <v>806</v>
      </c>
      <c r="B446" s="1" t="s">
        <v>818</v>
      </c>
      <c r="C446" s="1" t="s">
        <v>825</v>
      </c>
      <c r="D446" s="1" t="str">
        <f>"3750"</f>
        <v>3750</v>
      </c>
      <c r="E446" s="1" t="s">
        <v>392</v>
      </c>
      <c r="F446" s="1" t="s">
        <v>393</v>
      </c>
      <c r="G446" s="3" t="s">
        <v>15</v>
      </c>
      <c r="H446" s="3" t="str">
        <f>"1"</f>
        <v>1</v>
      </c>
      <c r="I446" s="4">
        <v>10789.32</v>
      </c>
      <c r="J446" s="2">
        <v>45862</v>
      </c>
      <c r="K446" s="1" t="s">
        <v>826</v>
      </c>
    </row>
    <row r="447" spans="1:11" x14ac:dyDescent="0.35">
      <c r="A447" s="3" t="s">
        <v>806</v>
      </c>
      <c r="B447" s="1" t="s">
        <v>818</v>
      </c>
      <c r="C447" s="1" t="s">
        <v>832</v>
      </c>
      <c r="D447" s="1" t="str">
        <f>"6720"</f>
        <v>6720</v>
      </c>
      <c r="E447" s="1" t="s">
        <v>833</v>
      </c>
      <c r="F447" s="1" t="s">
        <v>834</v>
      </c>
      <c r="G447" s="3" t="s">
        <v>15</v>
      </c>
      <c r="H447" s="3" t="str">
        <f>"1"</f>
        <v>1</v>
      </c>
      <c r="I447" s="4" t="str">
        <f>"1054"</f>
        <v>1054</v>
      </c>
      <c r="J447" s="2">
        <v>45862</v>
      </c>
      <c r="K447" s="1" t="s">
        <v>4313</v>
      </c>
    </row>
    <row r="448" spans="1:11" x14ac:dyDescent="0.35">
      <c r="A448" s="3" t="s">
        <v>806</v>
      </c>
      <c r="B448" s="1" t="s">
        <v>818</v>
      </c>
      <c r="C448" s="1" t="s">
        <v>835</v>
      </c>
      <c r="D448" s="1" t="str">
        <f>"7025"</f>
        <v>7025</v>
      </c>
      <c r="E448" s="1" t="s">
        <v>836</v>
      </c>
      <c r="F448" s="1" t="s">
        <v>837</v>
      </c>
      <c r="G448" s="3" t="s">
        <v>15</v>
      </c>
      <c r="H448" s="3" t="str">
        <f>"75"</f>
        <v>75</v>
      </c>
      <c r="I448" s="4" t="str">
        <f>"200"</f>
        <v>200</v>
      </c>
      <c r="J448" s="2">
        <v>45862</v>
      </c>
      <c r="K448" s="1" t="s">
        <v>4313</v>
      </c>
    </row>
    <row r="449" spans="1:11" x14ac:dyDescent="0.35">
      <c r="A449" s="3" t="s">
        <v>806</v>
      </c>
      <c r="B449" s="1" t="s">
        <v>818</v>
      </c>
      <c r="C449" s="1" t="s">
        <v>838</v>
      </c>
      <c r="D449" s="1" t="str">
        <f>"8415"</f>
        <v>8415</v>
      </c>
      <c r="E449" s="1" t="str">
        <f>"015801355"</f>
        <v>015801355</v>
      </c>
      <c r="F449" s="1" t="s">
        <v>839</v>
      </c>
      <c r="G449" s="3" t="s">
        <v>15</v>
      </c>
      <c r="H449" s="3" t="str">
        <f>"12"</f>
        <v>12</v>
      </c>
      <c r="I449" s="4">
        <v>81.66</v>
      </c>
      <c r="J449" s="2">
        <v>45862</v>
      </c>
      <c r="K449" s="1" t="s">
        <v>4313</v>
      </c>
    </row>
    <row r="450" spans="1:11" x14ac:dyDescent="0.35">
      <c r="A450" s="3" t="s">
        <v>806</v>
      </c>
      <c r="B450" s="1" t="s">
        <v>818</v>
      </c>
      <c r="C450" s="1" t="s">
        <v>840</v>
      </c>
      <c r="D450" s="1" t="str">
        <f>"8415"</f>
        <v>8415</v>
      </c>
      <c r="E450" s="1" t="str">
        <f>"014618356"</f>
        <v>014618356</v>
      </c>
      <c r="F450" s="1" t="s">
        <v>841</v>
      </c>
      <c r="G450" s="3" t="s">
        <v>15</v>
      </c>
      <c r="H450" s="3" t="str">
        <f>"5"</f>
        <v>5</v>
      </c>
      <c r="I450" s="4">
        <v>60.2</v>
      </c>
      <c r="J450" s="2">
        <v>45862</v>
      </c>
      <c r="K450" s="1" t="s">
        <v>4313</v>
      </c>
    </row>
    <row r="451" spans="1:11" x14ac:dyDescent="0.35">
      <c r="A451" s="3" t="s">
        <v>806</v>
      </c>
      <c r="B451" s="1" t="s">
        <v>818</v>
      </c>
      <c r="C451" s="1" t="s">
        <v>845</v>
      </c>
      <c r="D451" s="1" t="str">
        <f>"8465"</f>
        <v>8465</v>
      </c>
      <c r="E451" s="1" t="str">
        <f>"013288268"</f>
        <v>013288268</v>
      </c>
      <c r="F451" s="1" t="s">
        <v>846</v>
      </c>
      <c r="G451" s="3" t="s">
        <v>847</v>
      </c>
      <c r="H451" s="3" t="str">
        <f>"20"</f>
        <v>20</v>
      </c>
      <c r="I451" s="4">
        <v>28.86</v>
      </c>
      <c r="J451" s="2">
        <v>45862</v>
      </c>
      <c r="K451" s="1" t="s">
        <v>4313</v>
      </c>
    </row>
    <row r="452" spans="1:11" x14ac:dyDescent="0.35">
      <c r="A452" s="3" t="s">
        <v>806</v>
      </c>
      <c r="B452" s="1" t="s">
        <v>818</v>
      </c>
      <c r="C452" s="1" t="s">
        <v>851</v>
      </c>
      <c r="D452" s="1" t="str">
        <f>"8465"</f>
        <v>8465</v>
      </c>
      <c r="E452" s="1" t="str">
        <f>"015054762"</f>
        <v>015054762</v>
      </c>
      <c r="F452" s="1" t="s">
        <v>852</v>
      </c>
      <c r="G452" s="3" t="s">
        <v>15</v>
      </c>
      <c r="H452" s="3" t="str">
        <f>"5"</f>
        <v>5</v>
      </c>
      <c r="I452" s="4">
        <v>36.799999999999997</v>
      </c>
      <c r="J452" s="2">
        <v>45862</v>
      </c>
      <c r="K452" s="1" t="s">
        <v>4313</v>
      </c>
    </row>
    <row r="453" spans="1:11" x14ac:dyDescent="0.35">
      <c r="A453" s="3" t="s">
        <v>806</v>
      </c>
      <c r="B453" s="1" t="s">
        <v>818</v>
      </c>
      <c r="C453" s="1" t="s">
        <v>853</v>
      </c>
      <c r="D453" s="1" t="str">
        <f>"8465"</f>
        <v>8465</v>
      </c>
      <c r="E453" s="1" t="str">
        <f>"010338057"</f>
        <v>010338057</v>
      </c>
      <c r="F453" s="1" t="s">
        <v>854</v>
      </c>
      <c r="G453" s="3" t="s">
        <v>15</v>
      </c>
      <c r="H453" s="3" t="str">
        <f>"1"</f>
        <v>1</v>
      </c>
      <c r="I453" s="4">
        <v>110.81</v>
      </c>
      <c r="J453" s="2">
        <v>45862</v>
      </c>
      <c r="K453" s="1" t="s">
        <v>855</v>
      </c>
    </row>
    <row r="454" spans="1:11" x14ac:dyDescent="0.35">
      <c r="A454" s="3" t="s">
        <v>806</v>
      </c>
      <c r="B454" s="1" t="s">
        <v>870</v>
      </c>
      <c r="C454" s="1" t="s">
        <v>871</v>
      </c>
      <c r="D454" s="1" t="str">
        <f>"4120"</f>
        <v>4120</v>
      </c>
      <c r="E454" s="1" t="str">
        <f>"016128300"</f>
        <v>016128300</v>
      </c>
      <c r="F454" s="1" t="s">
        <v>872</v>
      </c>
      <c r="G454" s="3" t="s">
        <v>15</v>
      </c>
      <c r="H454" s="3" t="str">
        <f>"4"</f>
        <v>4</v>
      </c>
      <c r="I454" s="4">
        <v>5964.5</v>
      </c>
      <c r="J454" s="2">
        <v>45860</v>
      </c>
      <c r="K454" s="1" t="s">
        <v>873</v>
      </c>
    </row>
    <row r="455" spans="1:11" x14ac:dyDescent="0.35">
      <c r="A455" s="3" t="s">
        <v>806</v>
      </c>
      <c r="B455" s="1" t="s">
        <v>1000</v>
      </c>
      <c r="C455" s="1" t="s">
        <v>1006</v>
      </c>
      <c r="D455" s="1" t="str">
        <f>"1005"</f>
        <v>1005</v>
      </c>
      <c r="E455" s="1" t="str">
        <f>"015369646"</f>
        <v>015369646</v>
      </c>
      <c r="F455" s="1" t="s">
        <v>1007</v>
      </c>
      <c r="G455" s="3" t="s">
        <v>15</v>
      </c>
      <c r="H455" s="3" t="str">
        <f>"15"</f>
        <v>15</v>
      </c>
      <c r="I455" s="4">
        <v>451.65</v>
      </c>
      <c r="J455" s="2">
        <v>45860</v>
      </c>
      <c r="K455" s="1" t="s">
        <v>1008</v>
      </c>
    </row>
    <row r="456" spans="1:11" x14ac:dyDescent="0.35">
      <c r="A456" s="3" t="s">
        <v>806</v>
      </c>
      <c r="B456" s="1" t="s">
        <v>1000</v>
      </c>
      <c r="C456" s="1" t="s">
        <v>1009</v>
      </c>
      <c r="D456" s="1" t="str">
        <f>"1005"</f>
        <v>1005</v>
      </c>
      <c r="E456" s="1" t="str">
        <f>"015344361"</f>
        <v>015344361</v>
      </c>
      <c r="F456" s="1" t="s">
        <v>1010</v>
      </c>
      <c r="G456" s="3" t="s">
        <v>15</v>
      </c>
      <c r="H456" s="3" t="str">
        <f>"8"</f>
        <v>8</v>
      </c>
      <c r="I456" s="4" t="str">
        <f>"37"</f>
        <v>37</v>
      </c>
      <c r="J456" s="2">
        <v>45860</v>
      </c>
      <c r="K456" s="1" t="s">
        <v>1011</v>
      </c>
    </row>
    <row r="457" spans="1:11" x14ac:dyDescent="0.35">
      <c r="A457" s="3" t="s">
        <v>806</v>
      </c>
      <c r="B457" s="1" t="s">
        <v>1000</v>
      </c>
      <c r="C457" s="1" t="s">
        <v>1012</v>
      </c>
      <c r="D457" s="1" t="str">
        <f>"1005"</f>
        <v>1005</v>
      </c>
      <c r="E457" s="1" t="s">
        <v>1013</v>
      </c>
      <c r="F457" s="1" t="s">
        <v>1014</v>
      </c>
      <c r="G457" s="3" t="s">
        <v>15</v>
      </c>
      <c r="H457" s="3" t="str">
        <f>"10"</f>
        <v>10</v>
      </c>
      <c r="I457" s="4" t="str">
        <f>"7"</f>
        <v>7</v>
      </c>
      <c r="J457" s="2">
        <v>45860</v>
      </c>
      <c r="K457" s="1" t="s">
        <v>1015</v>
      </c>
    </row>
    <row r="458" spans="1:11" x14ac:dyDescent="0.35">
      <c r="A458" s="3" t="s">
        <v>806</v>
      </c>
      <c r="B458" s="1" t="s">
        <v>1000</v>
      </c>
      <c r="C458" s="1" t="s">
        <v>1016</v>
      </c>
      <c r="D458" s="1" t="str">
        <f>"1005"</f>
        <v>1005</v>
      </c>
      <c r="E458" s="1" t="s">
        <v>1013</v>
      </c>
      <c r="F458" s="1" t="s">
        <v>1014</v>
      </c>
      <c r="G458" s="3" t="s">
        <v>15</v>
      </c>
      <c r="H458" s="3" t="str">
        <f>"7"</f>
        <v>7</v>
      </c>
      <c r="I458" s="4" t="str">
        <f>"25"</f>
        <v>25</v>
      </c>
      <c r="J458" s="2">
        <v>45860</v>
      </c>
      <c r="K458" s="1" t="s">
        <v>1015</v>
      </c>
    </row>
    <row r="459" spans="1:11" x14ac:dyDescent="0.35">
      <c r="A459" s="3" t="s">
        <v>806</v>
      </c>
      <c r="B459" s="1" t="s">
        <v>1000</v>
      </c>
      <c r="C459" s="1" t="s">
        <v>1018</v>
      </c>
      <c r="D459" s="1" t="str">
        <f>"3990"</f>
        <v>3990</v>
      </c>
      <c r="E459" s="1" t="str">
        <f>"009370272"</f>
        <v>009370272</v>
      </c>
      <c r="F459" s="1" t="s">
        <v>1019</v>
      </c>
      <c r="G459" s="3" t="s">
        <v>15</v>
      </c>
      <c r="H459" s="3" t="str">
        <f>"10"</f>
        <v>10</v>
      </c>
      <c r="I459" s="4">
        <v>114.39</v>
      </c>
      <c r="J459" s="2">
        <v>45860</v>
      </c>
      <c r="K459" s="1" t="s">
        <v>1020</v>
      </c>
    </row>
    <row r="460" spans="1:11" x14ac:dyDescent="0.35">
      <c r="A460" s="3" t="s">
        <v>806</v>
      </c>
      <c r="B460" s="1" t="s">
        <v>1000</v>
      </c>
      <c r="C460" s="1" t="s">
        <v>1023</v>
      </c>
      <c r="D460" s="1" t="str">
        <f>"4010"</f>
        <v>4010</v>
      </c>
      <c r="E460" s="1" t="s">
        <v>80</v>
      </c>
      <c r="F460" s="1" t="s">
        <v>81</v>
      </c>
      <c r="G460" s="3" t="s">
        <v>15</v>
      </c>
      <c r="H460" s="3" t="str">
        <f>"1"</f>
        <v>1</v>
      </c>
      <c r="I460" s="4" t="str">
        <f>"35"</f>
        <v>35</v>
      </c>
      <c r="J460" s="2">
        <v>45860</v>
      </c>
      <c r="K460" s="1" t="s">
        <v>1022</v>
      </c>
    </row>
    <row r="461" spans="1:11" x14ac:dyDescent="0.35">
      <c r="A461" s="3" t="s">
        <v>806</v>
      </c>
      <c r="B461" s="1" t="s">
        <v>1079</v>
      </c>
      <c r="C461" s="1" t="s">
        <v>1080</v>
      </c>
      <c r="D461" s="1" t="str">
        <f>"1005"</f>
        <v>1005</v>
      </c>
      <c r="E461" s="1" t="str">
        <f>"007225087"</f>
        <v>007225087</v>
      </c>
      <c r="F461" s="1" t="s">
        <v>1081</v>
      </c>
      <c r="G461" s="3" t="s">
        <v>15</v>
      </c>
      <c r="H461" s="3" t="str">
        <f>"2"</f>
        <v>2</v>
      </c>
      <c r="I461" s="4">
        <v>22.28</v>
      </c>
      <c r="J461" s="2">
        <v>45860</v>
      </c>
      <c r="K461" s="1" t="s">
        <v>4313</v>
      </c>
    </row>
    <row r="462" spans="1:11" x14ac:dyDescent="0.35">
      <c r="A462" s="3" t="s">
        <v>806</v>
      </c>
      <c r="B462" s="1" t="s">
        <v>1079</v>
      </c>
      <c r="C462" s="1" t="s">
        <v>1082</v>
      </c>
      <c r="D462" s="1" t="str">
        <f>"1005"</f>
        <v>1005</v>
      </c>
      <c r="E462" s="1" t="str">
        <f>"002883565"</f>
        <v>002883565</v>
      </c>
      <c r="F462" s="1" t="s">
        <v>1083</v>
      </c>
      <c r="G462" s="3" t="s">
        <v>1084</v>
      </c>
      <c r="H462" s="3" t="str">
        <f>"1"</f>
        <v>1</v>
      </c>
      <c r="I462" s="4">
        <v>19.95</v>
      </c>
      <c r="J462" s="2">
        <v>45860</v>
      </c>
      <c r="K462" s="1" t="s">
        <v>4313</v>
      </c>
    </row>
    <row r="463" spans="1:11" x14ac:dyDescent="0.35">
      <c r="A463" s="3" t="s">
        <v>806</v>
      </c>
      <c r="B463" s="1" t="s">
        <v>1079</v>
      </c>
      <c r="C463" s="1" t="s">
        <v>1085</v>
      </c>
      <c r="D463" s="1" t="str">
        <f>"1005"</f>
        <v>1005</v>
      </c>
      <c r="E463" s="1" t="str">
        <f>"002883565"</f>
        <v>002883565</v>
      </c>
      <c r="F463" s="1" t="s">
        <v>1083</v>
      </c>
      <c r="G463" s="3" t="s">
        <v>1084</v>
      </c>
      <c r="H463" s="3" t="str">
        <f>"1"</f>
        <v>1</v>
      </c>
      <c r="I463" s="4">
        <v>19.95</v>
      </c>
      <c r="J463" s="2">
        <v>45860</v>
      </c>
      <c r="K463" s="1" t="s">
        <v>4313</v>
      </c>
    </row>
    <row r="464" spans="1:11" x14ac:dyDescent="0.35">
      <c r="A464" s="3" t="s">
        <v>806</v>
      </c>
      <c r="B464" s="1" t="s">
        <v>1079</v>
      </c>
      <c r="C464" s="1" t="s">
        <v>1094</v>
      </c>
      <c r="D464" s="1" t="str">
        <f>"3930"</f>
        <v>3930</v>
      </c>
      <c r="E464" s="1" t="s">
        <v>150</v>
      </c>
      <c r="F464" s="1" t="s">
        <v>151</v>
      </c>
      <c r="G464" s="3" t="s">
        <v>15</v>
      </c>
      <c r="H464" s="3" t="str">
        <f>"1"</f>
        <v>1</v>
      </c>
      <c r="I464" s="4" t="str">
        <f>"10000"</f>
        <v>10000</v>
      </c>
      <c r="J464" s="2">
        <v>45860</v>
      </c>
      <c r="K464" s="1" t="s">
        <v>1095</v>
      </c>
    </row>
    <row r="465" spans="1:11" x14ac:dyDescent="0.35">
      <c r="A465" s="3" t="s">
        <v>806</v>
      </c>
      <c r="B465" s="1" t="s">
        <v>1079</v>
      </c>
      <c r="C465" s="1" t="s">
        <v>1102</v>
      </c>
      <c r="D465" s="1" t="str">
        <f>"4240"</f>
        <v>4240</v>
      </c>
      <c r="E465" s="1" t="str">
        <f>"015835742"</f>
        <v>015835742</v>
      </c>
      <c r="F465" s="1" t="s">
        <v>214</v>
      </c>
      <c r="G465" s="3" t="s">
        <v>15</v>
      </c>
      <c r="H465" s="3" t="str">
        <f>"40"</f>
        <v>40</v>
      </c>
      <c r="I465" s="4">
        <v>64.8</v>
      </c>
      <c r="J465" s="2">
        <v>45860</v>
      </c>
      <c r="K465" s="1" t="s">
        <v>1103</v>
      </c>
    </row>
    <row r="466" spans="1:11" x14ac:dyDescent="0.35">
      <c r="A466" s="3" t="s">
        <v>806</v>
      </c>
      <c r="B466" s="1" t="s">
        <v>1079</v>
      </c>
      <c r="C466" s="1" t="s">
        <v>1122</v>
      </c>
      <c r="D466" s="1" t="str">
        <f>"4930"</f>
        <v>4930</v>
      </c>
      <c r="E466" s="1" t="str">
        <f>"001698275"</f>
        <v>001698275</v>
      </c>
      <c r="F466" s="1" t="s">
        <v>1123</v>
      </c>
      <c r="G466" s="3" t="s">
        <v>15</v>
      </c>
      <c r="H466" s="3" t="str">
        <f>"10"</f>
        <v>10</v>
      </c>
      <c r="I466" s="4">
        <v>33.869999999999997</v>
      </c>
      <c r="J466" s="2">
        <v>45860</v>
      </c>
      <c r="K466" s="1" t="s">
        <v>4313</v>
      </c>
    </row>
    <row r="467" spans="1:11" x14ac:dyDescent="0.35">
      <c r="A467" s="3" t="s">
        <v>806</v>
      </c>
      <c r="B467" s="1" t="s">
        <v>1079</v>
      </c>
      <c r="C467" s="1" t="s">
        <v>1180</v>
      </c>
      <c r="D467" s="1" t="str">
        <f>"5340"</f>
        <v>5340</v>
      </c>
      <c r="E467" s="1" t="str">
        <f>"011580134"</f>
        <v>011580134</v>
      </c>
      <c r="F467" s="1" t="s">
        <v>1181</v>
      </c>
      <c r="G467" s="3" t="s">
        <v>15</v>
      </c>
      <c r="H467" s="3" t="str">
        <f>"23"</f>
        <v>23</v>
      </c>
      <c r="I467" s="4">
        <v>1.83</v>
      </c>
      <c r="J467" s="2">
        <v>45860</v>
      </c>
      <c r="K467" s="1" t="s">
        <v>1182</v>
      </c>
    </row>
    <row r="468" spans="1:11" x14ac:dyDescent="0.35">
      <c r="A468" s="3" t="s">
        <v>806</v>
      </c>
      <c r="B468" s="1" t="s">
        <v>1079</v>
      </c>
      <c r="C468" s="1" t="s">
        <v>1198</v>
      </c>
      <c r="D468" s="1" t="str">
        <f>"6150"</f>
        <v>6150</v>
      </c>
      <c r="E468" s="1" t="str">
        <f>"014777793"</f>
        <v>014777793</v>
      </c>
      <c r="F468" s="1" t="s">
        <v>1199</v>
      </c>
      <c r="G468" s="3" t="s">
        <v>15</v>
      </c>
      <c r="H468" s="3" t="str">
        <f>"9"</f>
        <v>9</v>
      </c>
      <c r="I468" s="4">
        <v>33.299999999999997</v>
      </c>
      <c r="J468" s="2">
        <v>45860</v>
      </c>
      <c r="K468" s="1" t="s">
        <v>1200</v>
      </c>
    </row>
    <row r="469" spans="1:11" x14ac:dyDescent="0.35">
      <c r="A469" s="3" t="s">
        <v>806</v>
      </c>
      <c r="B469" s="1" t="s">
        <v>1079</v>
      </c>
      <c r="C469" s="1" t="s">
        <v>1216</v>
      </c>
      <c r="D469" s="1" t="str">
        <f>"6545"</f>
        <v>6545</v>
      </c>
      <c r="E469" s="1" t="str">
        <f>"016003282"</f>
        <v>016003282</v>
      </c>
      <c r="F469" s="1" t="s">
        <v>1217</v>
      </c>
      <c r="G469" s="3" t="s">
        <v>58</v>
      </c>
      <c r="H469" s="3" t="str">
        <f>"4"</f>
        <v>4</v>
      </c>
      <c r="I469" s="4">
        <v>373.22</v>
      </c>
      <c r="J469" s="2">
        <v>45860</v>
      </c>
      <c r="K469" s="1" t="s">
        <v>1218</v>
      </c>
    </row>
    <row r="470" spans="1:11" x14ac:dyDescent="0.35">
      <c r="A470" s="3" t="s">
        <v>806</v>
      </c>
      <c r="B470" s="1" t="s">
        <v>1079</v>
      </c>
      <c r="C470" s="1" t="s">
        <v>1221</v>
      </c>
      <c r="D470" s="1" t="str">
        <f>"7025"</f>
        <v>7025</v>
      </c>
      <c r="E470" s="1" t="s">
        <v>836</v>
      </c>
      <c r="F470" s="1" t="s">
        <v>837</v>
      </c>
      <c r="G470" s="3" t="s">
        <v>15</v>
      </c>
      <c r="H470" s="3" t="str">
        <f>"5"</f>
        <v>5</v>
      </c>
      <c r="I470" s="4" t="str">
        <f>"125"</f>
        <v>125</v>
      </c>
      <c r="J470" s="2">
        <v>45860</v>
      </c>
      <c r="K470" s="1" t="s">
        <v>1222</v>
      </c>
    </row>
    <row r="471" spans="1:11" x14ac:dyDescent="0.35">
      <c r="A471" s="3" t="s">
        <v>806</v>
      </c>
      <c r="B471" s="1" t="s">
        <v>1079</v>
      </c>
      <c r="C471" s="1" t="s">
        <v>1237</v>
      </c>
      <c r="D471" s="1" t="str">
        <f>"7520"</f>
        <v>7520</v>
      </c>
      <c r="E471" s="1" t="s">
        <v>1234</v>
      </c>
      <c r="F471" s="1" t="s">
        <v>1235</v>
      </c>
      <c r="G471" s="3" t="s">
        <v>15</v>
      </c>
      <c r="H471" s="3" t="str">
        <f>"1"</f>
        <v>1</v>
      </c>
      <c r="I471" s="4" t="str">
        <f>"110"</f>
        <v>110</v>
      </c>
      <c r="J471" s="2">
        <v>45860</v>
      </c>
      <c r="K471" s="1" t="s">
        <v>1238</v>
      </c>
    </row>
    <row r="472" spans="1:11" x14ac:dyDescent="0.35">
      <c r="A472" s="3" t="s">
        <v>806</v>
      </c>
      <c r="B472" s="1" t="s">
        <v>1079</v>
      </c>
      <c r="C472" s="1" t="s">
        <v>1267</v>
      </c>
      <c r="D472" s="1" t="str">
        <f>"8415"</f>
        <v>8415</v>
      </c>
      <c r="E472" s="1" t="str">
        <f>"016872583"</f>
        <v>016872583</v>
      </c>
      <c r="F472" s="1" t="s">
        <v>1268</v>
      </c>
      <c r="G472" s="3" t="s">
        <v>1269</v>
      </c>
      <c r="H472" s="3" t="str">
        <f>"6"</f>
        <v>6</v>
      </c>
      <c r="I472" s="4">
        <v>180.65</v>
      </c>
      <c r="J472" s="2">
        <v>45860</v>
      </c>
      <c r="K472" s="1" t="s">
        <v>1270</v>
      </c>
    </row>
    <row r="473" spans="1:11" x14ac:dyDescent="0.35">
      <c r="A473" s="3" t="s">
        <v>806</v>
      </c>
      <c r="B473" s="1" t="s">
        <v>1079</v>
      </c>
      <c r="C473" s="1" t="s">
        <v>1271</v>
      </c>
      <c r="D473" s="1" t="str">
        <f>"8415"</f>
        <v>8415</v>
      </c>
      <c r="E473" s="1" t="str">
        <f>"015553941"</f>
        <v>015553941</v>
      </c>
      <c r="F473" s="1" t="s">
        <v>841</v>
      </c>
      <c r="G473" s="3" t="s">
        <v>15</v>
      </c>
      <c r="H473" s="3" t="str">
        <f>"10"</f>
        <v>10</v>
      </c>
      <c r="I473" s="4">
        <v>95.56</v>
      </c>
      <c r="J473" s="2">
        <v>45860</v>
      </c>
      <c r="K473" s="1" t="s">
        <v>1272</v>
      </c>
    </row>
    <row r="474" spans="1:11" x14ac:dyDescent="0.35">
      <c r="A474" s="3" t="s">
        <v>806</v>
      </c>
      <c r="B474" s="1" t="s">
        <v>1079</v>
      </c>
      <c r="C474" s="1" t="s">
        <v>1273</v>
      </c>
      <c r="D474" s="1" t="str">
        <f>"8415"</f>
        <v>8415</v>
      </c>
      <c r="E474" s="1" t="str">
        <f>"016872583"</f>
        <v>016872583</v>
      </c>
      <c r="F474" s="1" t="s">
        <v>1268</v>
      </c>
      <c r="G474" s="3" t="s">
        <v>1269</v>
      </c>
      <c r="H474" s="3" t="str">
        <f>"1"</f>
        <v>1</v>
      </c>
      <c r="I474" s="4">
        <v>180.65</v>
      </c>
      <c r="J474" s="2">
        <v>45860</v>
      </c>
      <c r="K474" s="1" t="s">
        <v>1270</v>
      </c>
    </row>
    <row r="475" spans="1:11" x14ac:dyDescent="0.35">
      <c r="A475" s="3" t="s">
        <v>806</v>
      </c>
      <c r="B475" s="1" t="s">
        <v>1079</v>
      </c>
      <c r="C475" s="1" t="s">
        <v>1279</v>
      </c>
      <c r="D475" s="1" t="str">
        <f>"8415"</f>
        <v>8415</v>
      </c>
      <c r="E475" s="1" t="str">
        <f>"015901098"</f>
        <v>015901098</v>
      </c>
      <c r="F475" s="1" t="s">
        <v>1280</v>
      </c>
      <c r="G475" s="3" t="s">
        <v>15</v>
      </c>
      <c r="H475" s="3" t="str">
        <f>"1"</f>
        <v>1</v>
      </c>
      <c r="I475" s="4">
        <v>230.09</v>
      </c>
      <c r="J475" s="2">
        <v>45860</v>
      </c>
      <c r="K475" s="1" t="s">
        <v>1281</v>
      </c>
    </row>
    <row r="476" spans="1:11" x14ac:dyDescent="0.35">
      <c r="A476" s="3" t="s">
        <v>806</v>
      </c>
      <c r="B476" s="1" t="s">
        <v>1079</v>
      </c>
      <c r="C476" s="1" t="s">
        <v>1282</v>
      </c>
      <c r="D476" s="1" t="str">
        <f>"8415"</f>
        <v>8415</v>
      </c>
      <c r="E476" s="1" t="str">
        <f>"015993976"</f>
        <v>015993976</v>
      </c>
      <c r="F476" s="1" t="s">
        <v>1283</v>
      </c>
      <c r="G476" s="3" t="s">
        <v>15</v>
      </c>
      <c r="H476" s="3" t="str">
        <f>"2"</f>
        <v>2</v>
      </c>
      <c r="I476" s="4">
        <v>247.73</v>
      </c>
      <c r="J476" s="2">
        <v>45860</v>
      </c>
      <c r="K476" s="1" t="s">
        <v>1284</v>
      </c>
    </row>
    <row r="477" spans="1:11" x14ac:dyDescent="0.35">
      <c r="A477" s="3" t="s">
        <v>806</v>
      </c>
      <c r="B477" s="1" t="s">
        <v>1079</v>
      </c>
      <c r="C477" s="1" t="s">
        <v>1313</v>
      </c>
      <c r="D477" s="1" t="str">
        <f>"9930"</f>
        <v>9930</v>
      </c>
      <c r="E477" s="1" t="str">
        <f>"013316244"</f>
        <v>013316244</v>
      </c>
      <c r="F477" s="1" t="s">
        <v>1311</v>
      </c>
      <c r="G477" s="3" t="s">
        <v>15</v>
      </c>
      <c r="H477" s="3" t="str">
        <f>"17"</f>
        <v>17</v>
      </c>
      <c r="I477" s="4">
        <v>58.03</v>
      </c>
      <c r="J477" s="2">
        <v>45860</v>
      </c>
      <c r="K477" s="1" t="s">
        <v>1314</v>
      </c>
    </row>
    <row r="478" spans="1:11" x14ac:dyDescent="0.35">
      <c r="A478" s="3" t="s">
        <v>806</v>
      </c>
      <c r="B478" s="1" t="s">
        <v>807</v>
      </c>
      <c r="C478" s="1" t="s">
        <v>813</v>
      </c>
      <c r="D478" s="1" t="str">
        <f>"2541"</f>
        <v>2541</v>
      </c>
      <c r="E478" s="1" t="str">
        <f>"016001887"</f>
        <v>016001887</v>
      </c>
      <c r="F478" s="1" t="s">
        <v>809</v>
      </c>
      <c r="G478" s="3" t="s">
        <v>15</v>
      </c>
      <c r="H478" s="3" t="str">
        <f>"1"</f>
        <v>1</v>
      </c>
      <c r="I478" s="4">
        <v>2796.8</v>
      </c>
      <c r="J478" s="2">
        <v>45859</v>
      </c>
      <c r="K478" s="1" t="s">
        <v>812</v>
      </c>
    </row>
    <row r="479" spans="1:11" x14ac:dyDescent="0.35">
      <c r="A479" s="3" t="s">
        <v>806</v>
      </c>
      <c r="B479" s="1" t="s">
        <v>941</v>
      </c>
      <c r="C479" s="1" t="s">
        <v>945</v>
      </c>
      <c r="D479" s="1" t="str">
        <f>"5120"</f>
        <v>5120</v>
      </c>
      <c r="E479" s="1" t="str">
        <f>"008833003"</f>
        <v>008833003</v>
      </c>
      <c r="F479" s="1" t="s">
        <v>946</v>
      </c>
      <c r="G479" s="3" t="s">
        <v>58</v>
      </c>
      <c r="H479" s="3" t="str">
        <f>"1"</f>
        <v>1</v>
      </c>
      <c r="I479" s="4">
        <v>20.190000000000001</v>
      </c>
      <c r="J479" s="2">
        <v>45855</v>
      </c>
      <c r="K479" s="1" t="s">
        <v>947</v>
      </c>
    </row>
    <row r="480" spans="1:11" x14ac:dyDescent="0.35">
      <c r="A480" s="3" t="s">
        <v>806</v>
      </c>
      <c r="B480" s="1" t="s">
        <v>941</v>
      </c>
      <c r="C480" s="1" t="s">
        <v>948</v>
      </c>
      <c r="D480" s="1" t="str">
        <f>"5120"</f>
        <v>5120</v>
      </c>
      <c r="E480" s="1" t="str">
        <f>"013551736"</f>
        <v>013551736</v>
      </c>
      <c r="F480" s="1" t="s">
        <v>949</v>
      </c>
      <c r="G480" s="3" t="s">
        <v>15</v>
      </c>
      <c r="H480" s="3" t="str">
        <f>"1"</f>
        <v>1</v>
      </c>
      <c r="I480" s="4">
        <v>209.95</v>
      </c>
      <c r="J480" s="2">
        <v>45855</v>
      </c>
      <c r="K480" s="1" t="s">
        <v>950</v>
      </c>
    </row>
    <row r="481" spans="1:11" x14ac:dyDescent="0.35">
      <c r="A481" s="3" t="s">
        <v>806</v>
      </c>
      <c r="B481" s="1" t="s">
        <v>807</v>
      </c>
      <c r="C481" s="1" t="s">
        <v>808</v>
      </c>
      <c r="D481" s="1" t="str">
        <f>"2541"</f>
        <v>2541</v>
      </c>
      <c r="E481" s="1" t="str">
        <f>"016001887"</f>
        <v>016001887</v>
      </c>
      <c r="F481" s="1" t="s">
        <v>809</v>
      </c>
      <c r="G481" s="3" t="s">
        <v>15</v>
      </c>
      <c r="H481" s="3" t="str">
        <f>"1"</f>
        <v>1</v>
      </c>
      <c r="I481" s="4">
        <v>2796.8</v>
      </c>
      <c r="J481" s="2">
        <v>45852</v>
      </c>
      <c r="K481" s="1" t="s">
        <v>810</v>
      </c>
    </row>
    <row r="482" spans="1:11" x14ac:dyDescent="0.35">
      <c r="A482" s="3" t="s">
        <v>806</v>
      </c>
      <c r="B482" s="1" t="s">
        <v>807</v>
      </c>
      <c r="C482" s="1" t="s">
        <v>811</v>
      </c>
      <c r="D482" s="1" t="str">
        <f>"2541"</f>
        <v>2541</v>
      </c>
      <c r="E482" s="1" t="str">
        <f>"016001901"</f>
        <v>016001901</v>
      </c>
      <c r="F482" s="1" t="s">
        <v>809</v>
      </c>
      <c r="G482" s="3" t="s">
        <v>15</v>
      </c>
      <c r="H482" s="3" t="str">
        <f>"1"</f>
        <v>1</v>
      </c>
      <c r="I482" s="4">
        <v>8804.7999999999993</v>
      </c>
      <c r="J482" s="2">
        <v>45852</v>
      </c>
      <c r="K482" s="1" t="s">
        <v>812</v>
      </c>
    </row>
    <row r="483" spans="1:11" x14ac:dyDescent="0.35">
      <c r="A483" s="3" t="s">
        <v>806</v>
      </c>
      <c r="B483" s="1" t="s">
        <v>1079</v>
      </c>
      <c r="C483" s="1" t="s">
        <v>1108</v>
      </c>
      <c r="D483" s="1" t="str">
        <f>"4240"</f>
        <v>4240</v>
      </c>
      <c r="E483" s="1" t="str">
        <f>"015045727"</f>
        <v>015045727</v>
      </c>
      <c r="F483" s="1" t="s">
        <v>211</v>
      </c>
      <c r="G483" s="3" t="s">
        <v>15</v>
      </c>
      <c r="H483" s="3" t="str">
        <f>"40"</f>
        <v>40</v>
      </c>
      <c r="I483" s="4">
        <v>71.790000000000006</v>
      </c>
      <c r="J483" s="2">
        <v>45848</v>
      </c>
      <c r="K483" s="1" t="s">
        <v>1109</v>
      </c>
    </row>
    <row r="484" spans="1:11" x14ac:dyDescent="0.35">
      <c r="A484" s="3" t="s">
        <v>806</v>
      </c>
      <c r="B484" s="1" t="s">
        <v>1079</v>
      </c>
      <c r="C484" s="1" t="s">
        <v>1113</v>
      </c>
      <c r="D484" s="1" t="str">
        <f>"4240"</f>
        <v>4240</v>
      </c>
      <c r="E484" s="1" t="str">
        <f>"015700319"</f>
        <v>015700319</v>
      </c>
      <c r="F484" s="1" t="s">
        <v>830</v>
      </c>
      <c r="G484" s="3" t="s">
        <v>15</v>
      </c>
      <c r="H484" s="3" t="str">
        <f>"43"</f>
        <v>43</v>
      </c>
      <c r="I484" s="4">
        <v>39.07</v>
      </c>
      <c r="J484" s="2">
        <v>45848</v>
      </c>
      <c r="K484" s="1" t="s">
        <v>1114</v>
      </c>
    </row>
    <row r="485" spans="1:11" x14ac:dyDescent="0.35">
      <c r="A485" s="3" t="s">
        <v>806</v>
      </c>
      <c r="B485" s="1" t="s">
        <v>1079</v>
      </c>
      <c r="C485" s="1" t="s">
        <v>1127</v>
      </c>
      <c r="D485" s="1" t="str">
        <f>"5110"</f>
        <v>5110</v>
      </c>
      <c r="E485" s="1" t="s">
        <v>1128</v>
      </c>
      <c r="F485" s="1" t="s">
        <v>1129</v>
      </c>
      <c r="G485" s="3" t="s">
        <v>15</v>
      </c>
      <c r="H485" s="3" t="str">
        <f>"4"</f>
        <v>4</v>
      </c>
      <c r="I485" s="4" t="str">
        <f>"200"</f>
        <v>200</v>
      </c>
      <c r="J485" s="2">
        <v>45848</v>
      </c>
      <c r="K485" s="1" t="s">
        <v>1130</v>
      </c>
    </row>
    <row r="486" spans="1:11" x14ac:dyDescent="0.35">
      <c r="A486" s="3" t="s">
        <v>806</v>
      </c>
      <c r="B486" s="1" t="s">
        <v>1079</v>
      </c>
      <c r="C486" s="1" t="s">
        <v>1142</v>
      </c>
      <c r="D486" s="1" t="str">
        <f>"5120"</f>
        <v>5120</v>
      </c>
      <c r="E486" s="1" t="str">
        <f>"014168568"</f>
        <v>014168568</v>
      </c>
      <c r="F486" s="1" t="s">
        <v>1143</v>
      </c>
      <c r="G486" s="3" t="s">
        <v>58</v>
      </c>
      <c r="H486" s="3" t="str">
        <f>"2"</f>
        <v>2</v>
      </c>
      <c r="I486" s="4">
        <v>218.76</v>
      </c>
      <c r="J486" s="2">
        <v>45848</v>
      </c>
      <c r="K486" s="1" t="s">
        <v>1144</v>
      </c>
    </row>
    <row r="487" spans="1:11" x14ac:dyDescent="0.35">
      <c r="A487" s="3" t="s">
        <v>806</v>
      </c>
      <c r="B487" s="1" t="s">
        <v>1079</v>
      </c>
      <c r="C487" s="1" t="s">
        <v>1156</v>
      </c>
      <c r="D487" s="1" t="str">
        <f>"5120"</f>
        <v>5120</v>
      </c>
      <c r="E487" s="1" t="str">
        <f>"002933467"</f>
        <v>002933467</v>
      </c>
      <c r="F487" s="1" t="s">
        <v>1157</v>
      </c>
      <c r="G487" s="3" t="s">
        <v>15</v>
      </c>
      <c r="H487" s="3" t="str">
        <f>"19"</f>
        <v>19</v>
      </c>
      <c r="I487" s="4">
        <v>72.680000000000007</v>
      </c>
      <c r="J487" s="2">
        <v>45848</v>
      </c>
      <c r="K487" s="1" t="s">
        <v>1158</v>
      </c>
    </row>
    <row r="488" spans="1:11" x14ac:dyDescent="0.35">
      <c r="A488" s="3" t="s">
        <v>806</v>
      </c>
      <c r="B488" s="1" t="s">
        <v>1079</v>
      </c>
      <c r="C488" s="1" t="s">
        <v>1167</v>
      </c>
      <c r="D488" s="1" t="str">
        <f>"5140"</f>
        <v>5140</v>
      </c>
      <c r="E488" s="1" t="str">
        <f>"014740272"</f>
        <v>014740272</v>
      </c>
      <c r="F488" s="1" t="s">
        <v>1168</v>
      </c>
      <c r="G488" s="3" t="s">
        <v>15</v>
      </c>
      <c r="H488" s="3" t="str">
        <f>"2"</f>
        <v>2</v>
      </c>
      <c r="I488" s="4">
        <v>903.55</v>
      </c>
      <c r="J488" s="2">
        <v>45848</v>
      </c>
      <c r="K488" s="1" t="s">
        <v>1169</v>
      </c>
    </row>
    <row r="489" spans="1:11" x14ac:dyDescent="0.35">
      <c r="A489" s="3" t="s">
        <v>806</v>
      </c>
      <c r="B489" s="1" t="s">
        <v>1079</v>
      </c>
      <c r="C489" s="1" t="s">
        <v>1173</v>
      </c>
      <c r="D489" s="1" t="str">
        <f>"5180"</f>
        <v>5180</v>
      </c>
      <c r="E489" s="1" t="str">
        <f>"003577727"</f>
        <v>003577727</v>
      </c>
      <c r="F489" s="1" t="s">
        <v>1174</v>
      </c>
      <c r="G489" s="3" t="s">
        <v>19</v>
      </c>
      <c r="H489" s="3" t="str">
        <f>"1"</f>
        <v>1</v>
      </c>
      <c r="I489" s="4">
        <v>4697.1899999999996</v>
      </c>
      <c r="J489" s="2">
        <v>45848</v>
      </c>
      <c r="K489" s="1" t="s">
        <v>1175</v>
      </c>
    </row>
    <row r="490" spans="1:11" x14ac:dyDescent="0.35">
      <c r="A490" s="3" t="s">
        <v>806</v>
      </c>
      <c r="B490" s="1" t="s">
        <v>1079</v>
      </c>
      <c r="C490" s="1" t="s">
        <v>1206</v>
      </c>
      <c r="D490" s="1" t="str">
        <f>"6515"</f>
        <v>6515</v>
      </c>
      <c r="E490" s="1" t="str">
        <f>"016737560"</f>
        <v>016737560</v>
      </c>
      <c r="F490" s="1" t="s">
        <v>1207</v>
      </c>
      <c r="G490" s="3" t="s">
        <v>15</v>
      </c>
      <c r="H490" s="3" t="str">
        <f>"2"</f>
        <v>2</v>
      </c>
      <c r="I490" s="4">
        <v>155.99</v>
      </c>
      <c r="J490" s="2">
        <v>45848</v>
      </c>
      <c r="K490" s="1" t="s">
        <v>1208</v>
      </c>
    </row>
    <row r="491" spans="1:11" x14ac:dyDescent="0.35">
      <c r="A491" s="3" t="s">
        <v>806</v>
      </c>
      <c r="B491" s="1" t="s">
        <v>1079</v>
      </c>
      <c r="C491" s="1" t="s">
        <v>1209</v>
      </c>
      <c r="D491" s="1" t="str">
        <f>"6515"</f>
        <v>6515</v>
      </c>
      <c r="E491" s="1" t="str">
        <f>"009357138"</f>
        <v>009357138</v>
      </c>
      <c r="F491" s="1" t="s">
        <v>1210</v>
      </c>
      <c r="G491" s="3" t="s">
        <v>15</v>
      </c>
      <c r="H491" s="3" t="str">
        <f>"27"</f>
        <v>27</v>
      </c>
      <c r="I491" s="4">
        <v>15.11</v>
      </c>
      <c r="J491" s="2">
        <v>45848</v>
      </c>
      <c r="K491" s="1" t="s">
        <v>1211</v>
      </c>
    </row>
    <row r="492" spans="1:11" x14ac:dyDescent="0.35">
      <c r="A492" s="3" t="s">
        <v>806</v>
      </c>
      <c r="B492" s="1" t="s">
        <v>1079</v>
      </c>
      <c r="C492" s="1" t="s">
        <v>1219</v>
      </c>
      <c r="D492" s="1" t="str">
        <f>"6545"</f>
        <v>6545</v>
      </c>
      <c r="E492" s="1" t="str">
        <f>"016003282"</f>
        <v>016003282</v>
      </c>
      <c r="F492" s="1" t="s">
        <v>1217</v>
      </c>
      <c r="G492" s="3" t="s">
        <v>58</v>
      </c>
      <c r="H492" s="3" t="str">
        <f>"2"</f>
        <v>2</v>
      </c>
      <c r="I492" s="4">
        <v>373.22</v>
      </c>
      <c r="J492" s="2">
        <v>45848</v>
      </c>
      <c r="K492" s="1" t="s">
        <v>1220</v>
      </c>
    </row>
    <row r="493" spans="1:11" x14ac:dyDescent="0.35">
      <c r="A493" s="3" t="s">
        <v>806</v>
      </c>
      <c r="B493" s="1" t="s">
        <v>1079</v>
      </c>
      <c r="C493" s="1" t="s">
        <v>1223</v>
      </c>
      <c r="D493" s="1" t="str">
        <f>"7105"</f>
        <v>7105</v>
      </c>
      <c r="E493" s="1" t="str">
        <f>"015091390"</f>
        <v>015091390</v>
      </c>
      <c r="F493" s="1" t="s">
        <v>1224</v>
      </c>
      <c r="G493" s="3" t="s">
        <v>15</v>
      </c>
      <c r="H493" s="3" t="str">
        <f>"5"</f>
        <v>5</v>
      </c>
      <c r="I493" s="4">
        <v>802.53</v>
      </c>
      <c r="J493" s="2">
        <v>45848</v>
      </c>
      <c r="K493" s="1" t="s">
        <v>1225</v>
      </c>
    </row>
    <row r="494" spans="1:11" x14ac:dyDescent="0.35">
      <c r="A494" s="3" t="s">
        <v>806</v>
      </c>
      <c r="B494" s="1" t="s">
        <v>1079</v>
      </c>
      <c r="C494" s="1" t="s">
        <v>1285</v>
      </c>
      <c r="D494" s="1" t="str">
        <f>"8440"</f>
        <v>8440</v>
      </c>
      <c r="E494" s="1" t="str">
        <f>"013878509"</f>
        <v>013878509</v>
      </c>
      <c r="F494" s="1" t="s">
        <v>1286</v>
      </c>
      <c r="G494" s="3" t="s">
        <v>15</v>
      </c>
      <c r="H494" s="3" t="str">
        <f>"20"</f>
        <v>20</v>
      </c>
      <c r="I494" s="4">
        <v>2.8</v>
      </c>
      <c r="J494" s="2">
        <v>45848</v>
      </c>
      <c r="K494" s="1" t="s">
        <v>1287</v>
      </c>
    </row>
    <row r="495" spans="1:11" x14ac:dyDescent="0.35">
      <c r="A495" s="3" t="s">
        <v>806</v>
      </c>
      <c r="B495" s="1" t="s">
        <v>818</v>
      </c>
      <c r="C495" s="1" t="s">
        <v>827</v>
      </c>
      <c r="D495" s="1" t="str">
        <f>"4240"</f>
        <v>4240</v>
      </c>
      <c r="E495" s="1" t="str">
        <f>"014925720"</f>
        <v>014925720</v>
      </c>
      <c r="F495" s="1" t="s">
        <v>211</v>
      </c>
      <c r="G495" s="3" t="s">
        <v>15</v>
      </c>
      <c r="H495" s="3" t="str">
        <f>"8"</f>
        <v>8</v>
      </c>
      <c r="I495" s="4">
        <v>76.48</v>
      </c>
      <c r="J495" s="2">
        <v>45840</v>
      </c>
      <c r="K495" s="1" t="s">
        <v>828</v>
      </c>
    </row>
    <row r="496" spans="1:11" x14ac:dyDescent="0.35">
      <c r="A496" s="3" t="s">
        <v>806</v>
      </c>
      <c r="B496" s="1" t="s">
        <v>818</v>
      </c>
      <c r="C496" s="1" t="s">
        <v>829</v>
      </c>
      <c r="D496" s="1" t="str">
        <f>"4240"</f>
        <v>4240</v>
      </c>
      <c r="E496" s="1" t="str">
        <f>"015700319"</f>
        <v>015700319</v>
      </c>
      <c r="F496" s="1" t="s">
        <v>830</v>
      </c>
      <c r="G496" s="3" t="s">
        <v>15</v>
      </c>
      <c r="H496" s="3" t="str">
        <f>"70"</f>
        <v>70</v>
      </c>
      <c r="I496" s="4">
        <v>39.07</v>
      </c>
      <c r="J496" s="2">
        <v>45840</v>
      </c>
      <c r="K496" s="1" t="s">
        <v>831</v>
      </c>
    </row>
    <row r="497" spans="1:11" x14ac:dyDescent="0.35">
      <c r="A497" s="3" t="s">
        <v>806</v>
      </c>
      <c r="B497" s="1" t="s">
        <v>818</v>
      </c>
      <c r="C497" s="1" t="s">
        <v>842</v>
      </c>
      <c r="D497" s="1" t="str">
        <f>"8460"</f>
        <v>8460</v>
      </c>
      <c r="E497" s="1" t="str">
        <f>"014147271"</f>
        <v>014147271</v>
      </c>
      <c r="F497" s="1" t="s">
        <v>843</v>
      </c>
      <c r="G497" s="3" t="s">
        <v>15</v>
      </c>
      <c r="H497" s="3" t="str">
        <f>"2"</f>
        <v>2</v>
      </c>
      <c r="I497" s="4">
        <v>65.040000000000006</v>
      </c>
      <c r="J497" s="2">
        <v>45840</v>
      </c>
      <c r="K497" s="1" t="s">
        <v>844</v>
      </c>
    </row>
    <row r="498" spans="1:11" x14ac:dyDescent="0.35">
      <c r="A498" s="3" t="s">
        <v>806</v>
      </c>
      <c r="B498" s="1" t="s">
        <v>818</v>
      </c>
      <c r="C498" s="1" t="s">
        <v>848</v>
      </c>
      <c r="D498" s="1" t="str">
        <f>"8465"</f>
        <v>8465</v>
      </c>
      <c r="E498" s="1" t="str">
        <f>"013936515"</f>
        <v>013936515</v>
      </c>
      <c r="F498" s="1" t="s">
        <v>849</v>
      </c>
      <c r="G498" s="3" t="s">
        <v>15</v>
      </c>
      <c r="H498" s="3" t="str">
        <f>"40"</f>
        <v>40</v>
      </c>
      <c r="I498" s="4">
        <v>56.45</v>
      </c>
      <c r="J498" s="2">
        <v>45840</v>
      </c>
      <c r="K498" s="1" t="s">
        <v>850</v>
      </c>
    </row>
    <row r="499" spans="1:11" x14ac:dyDescent="0.35">
      <c r="A499" s="3" t="s">
        <v>806</v>
      </c>
      <c r="B499" s="1" t="s">
        <v>818</v>
      </c>
      <c r="C499" s="1" t="s">
        <v>856</v>
      </c>
      <c r="D499" s="1" t="str">
        <f>"8465"</f>
        <v>8465</v>
      </c>
      <c r="E499" s="1" t="str">
        <f>"016416358"</f>
        <v>016416358</v>
      </c>
      <c r="F499" s="1" t="s">
        <v>857</v>
      </c>
      <c r="G499" s="3" t="s">
        <v>15</v>
      </c>
      <c r="H499" s="3" t="str">
        <f>"8"</f>
        <v>8</v>
      </c>
      <c r="I499" s="4" t="str">
        <f>"120"</f>
        <v>120</v>
      </c>
      <c r="J499" s="2">
        <v>45840</v>
      </c>
      <c r="K499" s="1" t="s">
        <v>858</v>
      </c>
    </row>
    <row r="500" spans="1:11" x14ac:dyDescent="0.35">
      <c r="A500" s="3" t="s">
        <v>1317</v>
      </c>
      <c r="B500" s="1" t="s">
        <v>1318</v>
      </c>
      <c r="C500" s="1" t="s">
        <v>1319</v>
      </c>
      <c r="D500" s="1" t="str">
        <f>"1670"</f>
        <v>1670</v>
      </c>
      <c r="E500" s="1" t="str">
        <f>"010272900"</f>
        <v>010272900</v>
      </c>
      <c r="F500" s="1" t="s">
        <v>1320</v>
      </c>
      <c r="G500" s="3" t="s">
        <v>15</v>
      </c>
      <c r="H500" s="3" t="str">
        <f>"1"</f>
        <v>1</v>
      </c>
      <c r="I500" s="4" t="str">
        <f>"3780"</f>
        <v>3780</v>
      </c>
      <c r="J500" s="2">
        <v>45917</v>
      </c>
      <c r="K500" s="1" t="s">
        <v>1321</v>
      </c>
    </row>
    <row r="501" spans="1:11" x14ac:dyDescent="0.35">
      <c r="A501" s="3" t="s">
        <v>1317</v>
      </c>
      <c r="B501" s="1" t="s">
        <v>1318</v>
      </c>
      <c r="C501" s="1" t="s">
        <v>1324</v>
      </c>
      <c r="D501" s="1" t="str">
        <f>"2610"</f>
        <v>2610</v>
      </c>
      <c r="E501" s="1" t="s">
        <v>1325</v>
      </c>
      <c r="F501" s="1" t="s">
        <v>1326</v>
      </c>
      <c r="G501" s="3" t="s">
        <v>15</v>
      </c>
      <c r="H501" s="3" t="str">
        <f>"2"</f>
        <v>2</v>
      </c>
      <c r="I501" s="4" t="str">
        <f>"160"</f>
        <v>160</v>
      </c>
      <c r="J501" s="2">
        <v>45917</v>
      </c>
      <c r="K501" s="1" t="s">
        <v>1327</v>
      </c>
    </row>
    <row r="502" spans="1:11" x14ac:dyDescent="0.35">
      <c r="A502" s="3" t="s">
        <v>1317</v>
      </c>
      <c r="B502" s="1" t="s">
        <v>1318</v>
      </c>
      <c r="C502" s="1" t="s">
        <v>1328</v>
      </c>
      <c r="D502" s="1" t="str">
        <f>"2610"</f>
        <v>2610</v>
      </c>
      <c r="E502" s="1" t="str">
        <f>"015035618"</f>
        <v>015035618</v>
      </c>
      <c r="F502" s="1" t="s">
        <v>1329</v>
      </c>
      <c r="G502" s="3" t="s">
        <v>15</v>
      </c>
      <c r="H502" s="3" t="str">
        <f>"1"</f>
        <v>1</v>
      </c>
      <c r="I502" s="4">
        <v>277.77</v>
      </c>
      <c r="J502" s="2">
        <v>45917</v>
      </c>
      <c r="K502" s="1" t="s">
        <v>1327</v>
      </c>
    </row>
    <row r="503" spans="1:11" x14ac:dyDescent="0.35">
      <c r="A503" s="3" t="s">
        <v>1317</v>
      </c>
      <c r="B503" s="1" t="s">
        <v>1318</v>
      </c>
      <c r="C503" s="1" t="s">
        <v>1330</v>
      </c>
      <c r="D503" s="1" t="str">
        <f>"2610"</f>
        <v>2610</v>
      </c>
      <c r="E503" s="1" t="str">
        <f>"002628769"</f>
        <v>002628769</v>
      </c>
      <c r="F503" s="1" t="s">
        <v>1329</v>
      </c>
      <c r="G503" s="3" t="s">
        <v>15</v>
      </c>
      <c r="H503" s="3" t="str">
        <f>"1"</f>
        <v>1</v>
      </c>
      <c r="I503" s="4">
        <v>352.85</v>
      </c>
      <c r="J503" s="2">
        <v>45917</v>
      </c>
      <c r="K503" s="1" t="s">
        <v>1327</v>
      </c>
    </row>
    <row r="504" spans="1:11" x14ac:dyDescent="0.35">
      <c r="A504" s="3" t="s">
        <v>1317</v>
      </c>
      <c r="B504" s="1" t="s">
        <v>1318</v>
      </c>
      <c r="C504" s="1" t="s">
        <v>1331</v>
      </c>
      <c r="D504" s="1" t="str">
        <f>"2610"</f>
        <v>2610</v>
      </c>
      <c r="E504" s="1" t="str">
        <f>"002628769"</f>
        <v>002628769</v>
      </c>
      <c r="F504" s="1" t="s">
        <v>1329</v>
      </c>
      <c r="G504" s="3" t="s">
        <v>15</v>
      </c>
      <c r="H504" s="3" t="str">
        <f>"5"</f>
        <v>5</v>
      </c>
      <c r="I504" s="4">
        <v>352.85</v>
      </c>
      <c r="J504" s="2">
        <v>45917</v>
      </c>
      <c r="K504" s="1" t="s">
        <v>1332</v>
      </c>
    </row>
    <row r="505" spans="1:11" x14ac:dyDescent="0.35">
      <c r="A505" s="3" t="s">
        <v>1317</v>
      </c>
      <c r="B505" s="1" t="s">
        <v>1318</v>
      </c>
      <c r="C505" s="1" t="s">
        <v>1341</v>
      </c>
      <c r="D505" s="1" t="str">
        <f>"4240"</f>
        <v>4240</v>
      </c>
      <c r="E505" s="1" t="s">
        <v>1105</v>
      </c>
      <c r="F505" s="1" t="s">
        <v>1106</v>
      </c>
      <c r="G505" s="3" t="s">
        <v>15</v>
      </c>
      <c r="H505" s="3" t="str">
        <f>"1"</f>
        <v>1</v>
      </c>
      <c r="I505" s="4" t="str">
        <f>"8000"</f>
        <v>8000</v>
      </c>
      <c r="J505" s="2">
        <v>45917</v>
      </c>
      <c r="K505" s="1" t="s">
        <v>1342</v>
      </c>
    </row>
    <row r="506" spans="1:11" x14ac:dyDescent="0.35">
      <c r="A506" s="3" t="s">
        <v>1317</v>
      </c>
      <c r="B506" s="1" t="s">
        <v>1318</v>
      </c>
      <c r="C506" s="1" t="s">
        <v>1352</v>
      </c>
      <c r="D506" s="1" t="str">
        <f>"8145"</f>
        <v>8145</v>
      </c>
      <c r="E506" s="1" t="str">
        <f>"014653687"</f>
        <v>014653687</v>
      </c>
      <c r="F506" s="1" t="s">
        <v>1353</v>
      </c>
      <c r="G506" s="3" t="s">
        <v>15</v>
      </c>
      <c r="H506" s="3" t="str">
        <f>"2"</f>
        <v>2</v>
      </c>
      <c r="I506" s="4">
        <v>21325.63</v>
      </c>
      <c r="J506" s="2">
        <v>45917</v>
      </c>
      <c r="K506" s="1" t="s">
        <v>1354</v>
      </c>
    </row>
    <row r="507" spans="1:11" x14ac:dyDescent="0.35">
      <c r="A507" s="3" t="s">
        <v>1317</v>
      </c>
      <c r="B507" s="1" t="s">
        <v>1318</v>
      </c>
      <c r="C507" s="1" t="s">
        <v>1362</v>
      </c>
      <c r="D507" s="1" t="str">
        <f>"8465"</f>
        <v>8465</v>
      </c>
      <c r="E507" s="1" t="s">
        <v>1073</v>
      </c>
      <c r="F507" s="1" t="s">
        <v>1074</v>
      </c>
      <c r="G507" s="3" t="s">
        <v>15</v>
      </c>
      <c r="H507" s="3" t="str">
        <f>"10"</f>
        <v>10</v>
      </c>
      <c r="I507" s="4" t="str">
        <f>"150"</f>
        <v>150</v>
      </c>
      <c r="J507" s="2">
        <v>45917</v>
      </c>
      <c r="K507" s="1" t="s">
        <v>1363</v>
      </c>
    </row>
    <row r="508" spans="1:11" x14ac:dyDescent="0.35">
      <c r="A508" s="3" t="s">
        <v>1317</v>
      </c>
      <c r="B508" s="1" t="s">
        <v>1371</v>
      </c>
      <c r="C508" s="1" t="s">
        <v>1374</v>
      </c>
      <c r="D508" s="1" t="str">
        <f>"1240"</f>
        <v>1240</v>
      </c>
      <c r="E508" s="1" t="str">
        <f>"015766134"</f>
        <v>015766134</v>
      </c>
      <c r="F508" s="1" t="s">
        <v>269</v>
      </c>
      <c r="G508" s="3" t="s">
        <v>15</v>
      </c>
      <c r="H508" s="3" t="str">
        <f>"13"</f>
        <v>13</v>
      </c>
      <c r="I508" s="4" t="str">
        <f>"483"</f>
        <v>483</v>
      </c>
      <c r="J508" s="2">
        <v>45916</v>
      </c>
      <c r="K508" s="1" t="s">
        <v>1375</v>
      </c>
    </row>
    <row r="509" spans="1:11" x14ac:dyDescent="0.35">
      <c r="A509" s="3" t="s">
        <v>1317</v>
      </c>
      <c r="B509" s="1" t="s">
        <v>1371</v>
      </c>
      <c r="C509" s="1" t="s">
        <v>1376</v>
      </c>
      <c r="D509" s="1" t="str">
        <f>"2360"</f>
        <v>2360</v>
      </c>
      <c r="E509" s="1" t="str">
        <f>"016634386"</f>
        <v>016634386</v>
      </c>
      <c r="F509" s="1" t="s">
        <v>14</v>
      </c>
      <c r="G509" s="3" t="s">
        <v>15</v>
      </c>
      <c r="H509" s="3" t="str">
        <f>"1"</f>
        <v>1</v>
      </c>
      <c r="I509" s="4" t="str">
        <f>"150500"</f>
        <v>150500</v>
      </c>
      <c r="J509" s="2">
        <v>45916</v>
      </c>
      <c r="K509" s="1" t="s">
        <v>1377</v>
      </c>
    </row>
    <row r="510" spans="1:11" x14ac:dyDescent="0.35">
      <c r="A510" s="3" t="s">
        <v>1317</v>
      </c>
      <c r="B510" s="1" t="s">
        <v>1371</v>
      </c>
      <c r="C510" s="1" t="s">
        <v>1378</v>
      </c>
      <c r="D510" s="1" t="str">
        <f>"5855"</f>
        <v>5855</v>
      </c>
      <c r="E510" s="1" t="str">
        <f>"015387994"</f>
        <v>015387994</v>
      </c>
      <c r="F510" s="1" t="s">
        <v>1379</v>
      </c>
      <c r="G510" s="3" t="s">
        <v>15</v>
      </c>
      <c r="H510" s="3" t="str">
        <f>"2"</f>
        <v>2</v>
      </c>
      <c r="I510" s="4">
        <v>21388.21</v>
      </c>
      <c r="J510" s="2">
        <v>45916</v>
      </c>
      <c r="K510" s="1" t="s">
        <v>1380</v>
      </c>
    </row>
    <row r="511" spans="1:11" x14ac:dyDescent="0.35">
      <c r="A511" s="3" t="s">
        <v>1317</v>
      </c>
      <c r="B511" s="1" t="s">
        <v>1371</v>
      </c>
      <c r="C511" s="1" t="s">
        <v>1372</v>
      </c>
      <c r="D511" s="1" t="str">
        <f>"1095"</f>
        <v>1095</v>
      </c>
      <c r="E511" s="1" t="str">
        <f>"015432189"</f>
        <v>015432189</v>
      </c>
      <c r="F511" s="1" t="s">
        <v>106</v>
      </c>
      <c r="G511" s="3" t="s">
        <v>15</v>
      </c>
      <c r="H511" s="3" t="str">
        <f>"4"</f>
        <v>4</v>
      </c>
      <c r="I511" s="4" t="str">
        <f>"959"</f>
        <v>959</v>
      </c>
      <c r="J511" s="2">
        <v>45912</v>
      </c>
      <c r="K511" s="1" t="s">
        <v>1373</v>
      </c>
    </row>
    <row r="512" spans="1:11" x14ac:dyDescent="0.35">
      <c r="A512" s="3" t="s">
        <v>1317</v>
      </c>
      <c r="B512" s="1" t="s">
        <v>1381</v>
      </c>
      <c r="C512" s="1" t="s">
        <v>1382</v>
      </c>
      <c r="D512" s="1" t="str">
        <f>"1005"</f>
        <v>1005</v>
      </c>
      <c r="E512" s="1" t="s">
        <v>1383</v>
      </c>
      <c r="F512" s="1" t="s">
        <v>1384</v>
      </c>
      <c r="G512" s="3" t="s">
        <v>15</v>
      </c>
      <c r="H512" s="3" t="str">
        <f>"2"</f>
        <v>2</v>
      </c>
      <c r="I512" s="4" t="str">
        <f>"750"</f>
        <v>750</v>
      </c>
      <c r="J512" s="2">
        <v>45911</v>
      </c>
      <c r="K512" s="1" t="s">
        <v>1385</v>
      </c>
    </row>
    <row r="513" spans="1:11" x14ac:dyDescent="0.35">
      <c r="A513" s="3" t="s">
        <v>1317</v>
      </c>
      <c r="B513" s="1" t="s">
        <v>1381</v>
      </c>
      <c r="C513" s="1" t="s">
        <v>1388</v>
      </c>
      <c r="D513" s="1" t="str">
        <f>"5965"</f>
        <v>5965</v>
      </c>
      <c r="E513" s="1" t="str">
        <f>"226296584"</f>
        <v>226296584</v>
      </c>
      <c r="F513" s="1" t="s">
        <v>1389</v>
      </c>
      <c r="G513" s="3" t="s">
        <v>15</v>
      </c>
      <c r="H513" s="3" t="str">
        <f>"4"</f>
        <v>4</v>
      </c>
      <c r="I513" s="4">
        <v>1567.84</v>
      </c>
      <c r="J513" s="2">
        <v>45911</v>
      </c>
      <c r="K513" s="1" t="s">
        <v>1390</v>
      </c>
    </row>
    <row r="514" spans="1:11" x14ac:dyDescent="0.35">
      <c r="A514" s="3" t="s">
        <v>1317</v>
      </c>
      <c r="B514" s="1" t="s">
        <v>1381</v>
      </c>
      <c r="C514" s="1" t="s">
        <v>1391</v>
      </c>
      <c r="D514" s="1" t="str">
        <f>"6115"</f>
        <v>6115</v>
      </c>
      <c r="E514" s="1" t="str">
        <f>"016122549"</f>
        <v>016122549</v>
      </c>
      <c r="F514" s="1" t="s">
        <v>1392</v>
      </c>
      <c r="G514" s="3" t="s">
        <v>15</v>
      </c>
      <c r="H514" s="3" t="str">
        <f>"2"</f>
        <v>2</v>
      </c>
      <c r="I514" s="4" t="str">
        <f>"7566"</f>
        <v>7566</v>
      </c>
      <c r="J514" s="2">
        <v>45911</v>
      </c>
      <c r="K514" s="1" t="s">
        <v>1393</v>
      </c>
    </row>
    <row r="515" spans="1:11" x14ac:dyDescent="0.35">
      <c r="A515" s="3" t="s">
        <v>1317</v>
      </c>
      <c r="B515" s="1" t="s">
        <v>1381</v>
      </c>
      <c r="C515" s="1" t="s">
        <v>1402</v>
      </c>
      <c r="D515" s="1" t="str">
        <f>"8145"</f>
        <v>8145</v>
      </c>
      <c r="E515" s="1" t="str">
        <f>"015925972"</f>
        <v>015925972</v>
      </c>
      <c r="F515" s="1" t="s">
        <v>1403</v>
      </c>
      <c r="G515" s="3" t="s">
        <v>15</v>
      </c>
      <c r="H515" s="3" t="str">
        <f>"4"</f>
        <v>4</v>
      </c>
      <c r="I515" s="4" t="str">
        <f>"400"</f>
        <v>400</v>
      </c>
      <c r="J515" s="2">
        <v>45911</v>
      </c>
      <c r="K515" s="1" t="s">
        <v>1404</v>
      </c>
    </row>
    <row r="516" spans="1:11" x14ac:dyDescent="0.35">
      <c r="A516" s="3" t="s">
        <v>1317</v>
      </c>
      <c r="B516" s="1" t="s">
        <v>1364</v>
      </c>
      <c r="C516" s="1" t="s">
        <v>1365</v>
      </c>
      <c r="D516" s="1" t="str">
        <f>"7830"</f>
        <v>7830</v>
      </c>
      <c r="E516" s="1" t="s">
        <v>1366</v>
      </c>
      <c r="F516" s="1" t="s">
        <v>1367</v>
      </c>
      <c r="G516" s="3" t="s">
        <v>15</v>
      </c>
      <c r="H516" s="3" t="str">
        <f>"1"</f>
        <v>1</v>
      </c>
      <c r="I516" s="4" t="str">
        <f>"5699"</f>
        <v>5699</v>
      </c>
      <c r="J516" s="2">
        <v>45904</v>
      </c>
      <c r="K516" s="1" t="s">
        <v>1368</v>
      </c>
    </row>
    <row r="517" spans="1:11" x14ac:dyDescent="0.35">
      <c r="A517" s="3" t="s">
        <v>1317</v>
      </c>
      <c r="B517" s="1" t="s">
        <v>1364</v>
      </c>
      <c r="C517" s="1" t="s">
        <v>1369</v>
      </c>
      <c r="D517" s="1" t="str">
        <f>"7830"</f>
        <v>7830</v>
      </c>
      <c r="E517" s="1" t="str">
        <f>"015248565"</f>
        <v>015248565</v>
      </c>
      <c r="F517" s="1" t="s">
        <v>1370</v>
      </c>
      <c r="G517" s="3" t="s">
        <v>15</v>
      </c>
      <c r="H517" s="3" t="str">
        <f>"1"</f>
        <v>1</v>
      </c>
      <c r="I517" s="4" t="str">
        <f>"3500"</f>
        <v>3500</v>
      </c>
      <c r="J517" s="2">
        <v>45904</v>
      </c>
      <c r="K517" s="1" t="s">
        <v>1368</v>
      </c>
    </row>
    <row r="518" spans="1:11" x14ac:dyDescent="0.35">
      <c r="A518" s="3" t="s">
        <v>1317</v>
      </c>
      <c r="B518" s="1" t="s">
        <v>1318</v>
      </c>
      <c r="C518" s="1" t="s">
        <v>1335</v>
      </c>
      <c r="D518" s="1" t="str">
        <f>"3805"</f>
        <v>3805</v>
      </c>
      <c r="E518" s="1" t="str">
        <f>"009954772"</f>
        <v>009954772</v>
      </c>
      <c r="F518" s="1" t="s">
        <v>1336</v>
      </c>
      <c r="G518" s="3" t="s">
        <v>15</v>
      </c>
      <c r="H518" s="3" t="str">
        <f>"1"</f>
        <v>1</v>
      </c>
      <c r="I518" s="4" t="str">
        <f>"150000"</f>
        <v>150000</v>
      </c>
      <c r="J518" s="2">
        <v>45902</v>
      </c>
      <c r="K518" s="1" t="s">
        <v>1337</v>
      </c>
    </row>
    <row r="519" spans="1:11" x14ac:dyDescent="0.35">
      <c r="A519" s="3" t="s">
        <v>1317</v>
      </c>
      <c r="B519" s="1" t="s">
        <v>1318</v>
      </c>
      <c r="C519" s="1" t="s">
        <v>1333</v>
      </c>
      <c r="D519" s="1" t="str">
        <f>"3431"</f>
        <v>3431</v>
      </c>
      <c r="E519" s="1" t="s">
        <v>146</v>
      </c>
      <c r="F519" s="1" t="s">
        <v>147</v>
      </c>
      <c r="G519" s="3" t="s">
        <v>15</v>
      </c>
      <c r="H519" s="3" t="str">
        <f>"1"</f>
        <v>1</v>
      </c>
      <c r="I519" s="4" t="str">
        <f>"3300"</f>
        <v>3300</v>
      </c>
      <c r="J519" s="2">
        <v>45896</v>
      </c>
      <c r="K519" s="1" t="s">
        <v>1334</v>
      </c>
    </row>
    <row r="520" spans="1:11" x14ac:dyDescent="0.35">
      <c r="A520" s="3" t="s">
        <v>1317</v>
      </c>
      <c r="B520" s="1" t="s">
        <v>1318</v>
      </c>
      <c r="C520" s="1" t="s">
        <v>1343</v>
      </c>
      <c r="D520" s="1" t="str">
        <f>"5820"</f>
        <v>5820</v>
      </c>
      <c r="E520" s="1" t="str">
        <f>"992905254"</f>
        <v>992905254</v>
      </c>
      <c r="F520" s="1" t="s">
        <v>1344</v>
      </c>
      <c r="G520" s="3" t="s">
        <v>15</v>
      </c>
      <c r="H520" s="3" t="str">
        <f>"28"</f>
        <v>28</v>
      </c>
      <c r="I520" s="4">
        <v>486.68</v>
      </c>
      <c r="J520" s="2">
        <v>45896</v>
      </c>
      <c r="K520" s="1" t="s">
        <v>1345</v>
      </c>
    </row>
    <row r="521" spans="1:11" x14ac:dyDescent="0.35">
      <c r="A521" s="3" t="s">
        <v>1317</v>
      </c>
      <c r="B521" s="1" t="s">
        <v>1318</v>
      </c>
      <c r="C521" s="1" t="s">
        <v>1346</v>
      </c>
      <c r="D521" s="1" t="str">
        <f>"5830"</f>
        <v>5830</v>
      </c>
      <c r="E521" s="1" t="s">
        <v>1347</v>
      </c>
      <c r="F521" s="1" t="s">
        <v>1348</v>
      </c>
      <c r="G521" s="3" t="s">
        <v>15</v>
      </c>
      <c r="H521" s="3" t="str">
        <f>"1"</f>
        <v>1</v>
      </c>
      <c r="I521" s="4">
        <v>2271.15</v>
      </c>
      <c r="J521" s="2">
        <v>45896</v>
      </c>
      <c r="K521" s="1" t="s">
        <v>1349</v>
      </c>
    </row>
    <row r="522" spans="1:11" x14ac:dyDescent="0.35">
      <c r="A522" s="3" t="s">
        <v>1317</v>
      </c>
      <c r="B522" s="1" t="s">
        <v>1318</v>
      </c>
      <c r="C522" s="1" t="s">
        <v>1358</v>
      </c>
      <c r="D522" s="1" t="str">
        <f>"8415"</f>
        <v>8415</v>
      </c>
      <c r="E522" s="1" t="s">
        <v>1359</v>
      </c>
      <c r="F522" s="1" t="s">
        <v>1360</v>
      </c>
      <c r="G522" s="3" t="s">
        <v>15</v>
      </c>
      <c r="H522" s="3" t="str">
        <f>"53"</f>
        <v>53</v>
      </c>
      <c r="I522" s="4" t="str">
        <f>"49"</f>
        <v>49</v>
      </c>
      <c r="J522" s="2">
        <v>45896</v>
      </c>
      <c r="K522" s="1" t="s">
        <v>1361</v>
      </c>
    </row>
    <row r="523" spans="1:11" x14ac:dyDescent="0.35">
      <c r="A523" s="3" t="s">
        <v>1317</v>
      </c>
      <c r="B523" s="1" t="s">
        <v>1381</v>
      </c>
      <c r="C523" s="1" t="s">
        <v>1386</v>
      </c>
      <c r="D523" s="1" t="str">
        <f>"5820"</f>
        <v>5820</v>
      </c>
      <c r="E523" s="1" t="str">
        <f>"992905254"</f>
        <v>992905254</v>
      </c>
      <c r="F523" s="1" t="s">
        <v>1344</v>
      </c>
      <c r="G523" s="3" t="s">
        <v>15</v>
      </c>
      <c r="H523" s="3" t="str">
        <f>"16"</f>
        <v>16</v>
      </c>
      <c r="I523" s="4">
        <v>486.68</v>
      </c>
      <c r="J523" s="2">
        <v>45888</v>
      </c>
      <c r="K523" s="1" t="s">
        <v>1387</v>
      </c>
    </row>
    <row r="524" spans="1:11" x14ac:dyDescent="0.35">
      <c r="A524" s="3" t="s">
        <v>1317</v>
      </c>
      <c r="B524" s="1" t="s">
        <v>1381</v>
      </c>
      <c r="C524" s="1" t="s">
        <v>1394</v>
      </c>
      <c r="D524" s="1" t="str">
        <f>"6230"</f>
        <v>6230</v>
      </c>
      <c r="E524" s="1" t="s">
        <v>178</v>
      </c>
      <c r="F524" s="1" t="s">
        <v>179</v>
      </c>
      <c r="G524" s="3" t="s">
        <v>15</v>
      </c>
      <c r="H524" s="3" t="str">
        <f>"4"</f>
        <v>4</v>
      </c>
      <c r="I524" s="4" t="str">
        <f>"300"</f>
        <v>300</v>
      </c>
      <c r="J524" s="2">
        <v>45888</v>
      </c>
      <c r="K524" s="1" t="s">
        <v>1395</v>
      </c>
    </row>
    <row r="525" spans="1:11" x14ac:dyDescent="0.35">
      <c r="A525" s="3" t="s">
        <v>1317</v>
      </c>
      <c r="B525" s="1" t="s">
        <v>1318</v>
      </c>
      <c r="C525" s="1" t="s">
        <v>1338</v>
      </c>
      <c r="D525" s="1" t="str">
        <f>"3835"</f>
        <v>3835</v>
      </c>
      <c r="E525" s="1" t="str">
        <f>"015117335"</f>
        <v>015117335</v>
      </c>
      <c r="F525" s="1" t="s">
        <v>1339</v>
      </c>
      <c r="G525" s="3" t="s">
        <v>15</v>
      </c>
      <c r="H525" s="3" t="str">
        <f>"2"</f>
        <v>2</v>
      </c>
      <c r="I525" s="4" t="str">
        <f>"343437"</f>
        <v>343437</v>
      </c>
      <c r="J525" s="2">
        <v>45869</v>
      </c>
      <c r="K525" s="1" t="s">
        <v>1340</v>
      </c>
    </row>
    <row r="526" spans="1:11" x14ac:dyDescent="0.35">
      <c r="A526" s="3" t="s">
        <v>1317</v>
      </c>
      <c r="B526" s="1" t="s">
        <v>1318</v>
      </c>
      <c r="C526" s="1" t="s">
        <v>1322</v>
      </c>
      <c r="D526" s="1" t="str">
        <f>"2320"</f>
        <v>2320</v>
      </c>
      <c r="E526" s="1" t="str">
        <f>"015402038"</f>
        <v>015402038</v>
      </c>
      <c r="F526" s="1" t="s">
        <v>604</v>
      </c>
      <c r="G526" s="3" t="s">
        <v>15</v>
      </c>
      <c r="H526" s="3" t="str">
        <f>"1"</f>
        <v>1</v>
      </c>
      <c r="I526" s="4" t="str">
        <f>"225121"</f>
        <v>225121</v>
      </c>
      <c r="J526" s="2">
        <v>45853</v>
      </c>
      <c r="K526" s="1" t="s">
        <v>1323</v>
      </c>
    </row>
    <row r="527" spans="1:11" x14ac:dyDescent="0.35">
      <c r="A527" s="3" t="s">
        <v>1317</v>
      </c>
      <c r="B527" s="1" t="s">
        <v>1381</v>
      </c>
      <c r="C527" s="1" t="s">
        <v>1396</v>
      </c>
      <c r="D527" s="1" t="str">
        <f>"6230"</f>
        <v>6230</v>
      </c>
      <c r="E527" s="1" t="str">
        <f>"013827265"</f>
        <v>013827265</v>
      </c>
      <c r="F527" s="1" t="s">
        <v>1397</v>
      </c>
      <c r="G527" s="3" t="s">
        <v>15</v>
      </c>
      <c r="H527" s="3" t="str">
        <f>"2"</f>
        <v>2</v>
      </c>
      <c r="I527" s="4" t="str">
        <f>"18400"</f>
        <v>18400</v>
      </c>
      <c r="J527" s="2">
        <v>45847</v>
      </c>
      <c r="K527" s="1" t="s">
        <v>1398</v>
      </c>
    </row>
    <row r="528" spans="1:11" x14ac:dyDescent="0.35">
      <c r="A528" s="3" t="s">
        <v>1317</v>
      </c>
      <c r="B528" s="1" t="s">
        <v>1381</v>
      </c>
      <c r="C528" s="1" t="s">
        <v>1405</v>
      </c>
      <c r="D528" s="1" t="str">
        <f>"8465"</f>
        <v>8465</v>
      </c>
      <c r="E528" s="1" t="str">
        <f>"016416353"</f>
        <v>016416353</v>
      </c>
      <c r="F528" s="1" t="s">
        <v>637</v>
      </c>
      <c r="G528" s="3" t="s">
        <v>58</v>
      </c>
      <c r="H528" s="3" t="str">
        <f>"5"</f>
        <v>5</v>
      </c>
      <c r="I528" s="4">
        <v>234.01</v>
      </c>
      <c r="J528" s="2">
        <v>45847</v>
      </c>
      <c r="K528" s="1" t="s">
        <v>1406</v>
      </c>
    </row>
    <row r="529" spans="1:11" x14ac:dyDescent="0.35">
      <c r="A529" s="3" t="s">
        <v>1317</v>
      </c>
      <c r="B529" s="1" t="s">
        <v>1318</v>
      </c>
      <c r="C529" s="1" t="s">
        <v>1350</v>
      </c>
      <c r="D529" s="1" t="str">
        <f>"6230"</f>
        <v>6230</v>
      </c>
      <c r="E529" s="1" t="s">
        <v>178</v>
      </c>
      <c r="F529" s="1" t="s">
        <v>179</v>
      </c>
      <c r="G529" s="3" t="s">
        <v>15</v>
      </c>
      <c r="H529" s="3" t="str">
        <f>"1"</f>
        <v>1</v>
      </c>
      <c r="I529" s="4" t="str">
        <f>"159"</f>
        <v>159</v>
      </c>
      <c r="J529" s="2">
        <v>45846</v>
      </c>
      <c r="K529" s="1" t="s">
        <v>1351</v>
      </c>
    </row>
    <row r="530" spans="1:11" x14ac:dyDescent="0.35">
      <c r="A530" s="3" t="s">
        <v>1317</v>
      </c>
      <c r="B530" s="1" t="s">
        <v>1318</v>
      </c>
      <c r="C530" s="1" t="s">
        <v>1355</v>
      </c>
      <c r="D530" s="1" t="str">
        <f>"8145"</f>
        <v>8145</v>
      </c>
      <c r="E530" s="1" t="str">
        <f>"014653685"</f>
        <v>014653685</v>
      </c>
      <c r="F530" s="1" t="s">
        <v>1353</v>
      </c>
      <c r="G530" s="3" t="s">
        <v>15</v>
      </c>
      <c r="H530" s="3" t="str">
        <f>"2"</f>
        <v>2</v>
      </c>
      <c r="I530" s="4">
        <v>18188.55</v>
      </c>
      <c r="J530" s="2">
        <v>45846</v>
      </c>
      <c r="K530" s="1" t="s">
        <v>1356</v>
      </c>
    </row>
    <row r="531" spans="1:11" x14ac:dyDescent="0.35">
      <c r="A531" s="3" t="s">
        <v>1317</v>
      </c>
      <c r="B531" s="1" t="s">
        <v>1381</v>
      </c>
      <c r="C531" s="1" t="s">
        <v>1399</v>
      </c>
      <c r="D531" s="1" t="str">
        <f>"7025"</f>
        <v>7025</v>
      </c>
      <c r="E531" s="1" t="str">
        <f>"016410660"</f>
        <v>016410660</v>
      </c>
      <c r="F531" s="1" t="s">
        <v>1400</v>
      </c>
      <c r="G531" s="3" t="s">
        <v>15</v>
      </c>
      <c r="H531" s="3" t="str">
        <f>"10"</f>
        <v>10</v>
      </c>
      <c r="I531" s="4" t="str">
        <f>"179"</f>
        <v>179</v>
      </c>
      <c r="J531" s="2">
        <v>45845</v>
      </c>
      <c r="K531" s="1" t="s">
        <v>1401</v>
      </c>
    </row>
    <row r="532" spans="1:11" x14ac:dyDescent="0.35">
      <c r="A532" s="3" t="s">
        <v>1317</v>
      </c>
      <c r="B532" s="1" t="s">
        <v>1318</v>
      </c>
      <c r="C532" s="1" t="s">
        <v>1357</v>
      </c>
      <c r="D532" s="1" t="str">
        <f>"8145"</f>
        <v>8145</v>
      </c>
      <c r="E532" s="1" t="str">
        <f>"014653685"</f>
        <v>014653685</v>
      </c>
      <c r="F532" s="1" t="s">
        <v>1353</v>
      </c>
      <c r="G532" s="3" t="s">
        <v>15</v>
      </c>
      <c r="H532" s="3" t="str">
        <f>"2"</f>
        <v>2</v>
      </c>
      <c r="I532" s="4">
        <v>18188.55</v>
      </c>
      <c r="J532" s="2">
        <v>45840</v>
      </c>
      <c r="K532" s="1" t="s">
        <v>1356</v>
      </c>
    </row>
    <row r="533" spans="1:11" x14ac:dyDescent="0.35">
      <c r="A533" s="3" t="s">
        <v>1407</v>
      </c>
      <c r="B533" s="1" t="s">
        <v>1420</v>
      </c>
      <c r="C533" s="1" t="s">
        <v>1430</v>
      </c>
      <c r="D533" s="1" t="str">
        <f>"8430"</f>
        <v>8430</v>
      </c>
      <c r="E533" s="1" t="str">
        <f>"014922019"</f>
        <v>014922019</v>
      </c>
      <c r="F533" s="1" t="s">
        <v>1431</v>
      </c>
      <c r="G533" s="3" t="s">
        <v>847</v>
      </c>
      <c r="H533" s="3" t="str">
        <f>"1"</f>
        <v>1</v>
      </c>
      <c r="I533" s="4">
        <v>121.48</v>
      </c>
      <c r="J533" s="2">
        <v>45919</v>
      </c>
      <c r="K533" s="1" t="s">
        <v>1432</v>
      </c>
    </row>
    <row r="534" spans="1:11" x14ac:dyDescent="0.35">
      <c r="A534" s="3" t="s">
        <v>1407</v>
      </c>
      <c r="B534" s="1" t="s">
        <v>1420</v>
      </c>
      <c r="C534" s="1" t="s">
        <v>1426</v>
      </c>
      <c r="D534" s="1" t="str">
        <f>"8415"</f>
        <v>8415</v>
      </c>
      <c r="E534" s="1" t="str">
        <f>"015386754"</f>
        <v>015386754</v>
      </c>
      <c r="F534" s="1" t="s">
        <v>839</v>
      </c>
      <c r="G534" s="3" t="s">
        <v>15</v>
      </c>
      <c r="H534" s="3" t="str">
        <f>"3"</f>
        <v>3</v>
      </c>
      <c r="I534" s="4">
        <v>66.42</v>
      </c>
      <c r="J534" s="2">
        <v>45918</v>
      </c>
      <c r="K534" s="1" t="s">
        <v>1427</v>
      </c>
    </row>
    <row r="535" spans="1:11" x14ac:dyDescent="0.35">
      <c r="A535" s="3" t="s">
        <v>1407</v>
      </c>
      <c r="B535" s="1" t="s">
        <v>1408</v>
      </c>
      <c r="C535" s="1" t="s">
        <v>1410</v>
      </c>
      <c r="D535" s="1" t="str">
        <f>"4520"</f>
        <v>4520</v>
      </c>
      <c r="E535" s="1" t="str">
        <f>"014770568"</f>
        <v>014770568</v>
      </c>
      <c r="F535" s="1" t="s">
        <v>1411</v>
      </c>
      <c r="G535" s="3" t="s">
        <v>15</v>
      </c>
      <c r="H535" s="3" t="str">
        <f>"1"</f>
        <v>1</v>
      </c>
      <c r="I535" s="4" t="str">
        <f>"23856"</f>
        <v>23856</v>
      </c>
      <c r="J535" s="2">
        <v>45908</v>
      </c>
      <c r="K535" s="1" t="s">
        <v>1412</v>
      </c>
    </row>
    <row r="536" spans="1:11" x14ac:dyDescent="0.35">
      <c r="A536" s="3" t="s">
        <v>1407</v>
      </c>
      <c r="B536" s="1" t="s">
        <v>1408</v>
      </c>
      <c r="C536" s="1" t="s">
        <v>1413</v>
      </c>
      <c r="D536" s="1" t="str">
        <f>"4520"</f>
        <v>4520</v>
      </c>
      <c r="E536" s="1" t="str">
        <f>"014770568"</f>
        <v>014770568</v>
      </c>
      <c r="F536" s="1" t="s">
        <v>1411</v>
      </c>
      <c r="G536" s="3" t="s">
        <v>15</v>
      </c>
      <c r="H536" s="3" t="str">
        <f>"1"</f>
        <v>1</v>
      </c>
      <c r="I536" s="4" t="str">
        <f>"23856"</f>
        <v>23856</v>
      </c>
      <c r="J536" s="2">
        <v>45908</v>
      </c>
      <c r="K536" s="1" t="s">
        <v>1412</v>
      </c>
    </row>
    <row r="537" spans="1:11" x14ac:dyDescent="0.35">
      <c r="A537" s="3" t="s">
        <v>1407</v>
      </c>
      <c r="B537" s="1" t="s">
        <v>1408</v>
      </c>
      <c r="C537" s="1" t="s">
        <v>1414</v>
      </c>
      <c r="D537" s="1" t="str">
        <f>"4520"</f>
        <v>4520</v>
      </c>
      <c r="E537" s="1" t="str">
        <f>"014770568"</f>
        <v>014770568</v>
      </c>
      <c r="F537" s="1" t="s">
        <v>1411</v>
      </c>
      <c r="G537" s="3" t="s">
        <v>15</v>
      </c>
      <c r="H537" s="3" t="str">
        <f>"1"</f>
        <v>1</v>
      </c>
      <c r="I537" s="4" t="str">
        <f>"23856"</f>
        <v>23856</v>
      </c>
      <c r="J537" s="2">
        <v>45908</v>
      </c>
      <c r="K537" s="1" t="s">
        <v>1412</v>
      </c>
    </row>
    <row r="538" spans="1:11" x14ac:dyDescent="0.35">
      <c r="A538" s="3" t="s">
        <v>1407</v>
      </c>
      <c r="B538" s="1" t="s">
        <v>1408</v>
      </c>
      <c r="C538" s="1" t="s">
        <v>1417</v>
      </c>
      <c r="D538" s="1" t="str">
        <f>"6530"</f>
        <v>6530</v>
      </c>
      <c r="E538" s="1" t="str">
        <f>"013807309"</f>
        <v>013807309</v>
      </c>
      <c r="F538" s="1" t="s">
        <v>1418</v>
      </c>
      <c r="G538" s="3" t="s">
        <v>15</v>
      </c>
      <c r="H538" s="3" t="str">
        <f>"20"</f>
        <v>20</v>
      </c>
      <c r="I538" s="4">
        <v>655.48</v>
      </c>
      <c r="J538" s="2">
        <v>45908</v>
      </c>
      <c r="K538" s="1" t="s">
        <v>1419</v>
      </c>
    </row>
    <row r="539" spans="1:11" x14ac:dyDescent="0.35">
      <c r="A539" s="3" t="s">
        <v>1407</v>
      </c>
      <c r="B539" s="1" t="s">
        <v>1420</v>
      </c>
      <c r="C539" s="1" t="s">
        <v>1433</v>
      </c>
      <c r="D539" s="1" t="str">
        <f>"8465"</f>
        <v>8465</v>
      </c>
      <c r="E539" s="1" t="str">
        <f>"014456274"</f>
        <v>014456274</v>
      </c>
      <c r="F539" s="1" t="s">
        <v>1434</v>
      </c>
      <c r="G539" s="3" t="s">
        <v>15</v>
      </c>
      <c r="H539" s="3" t="str">
        <f>"3"</f>
        <v>3</v>
      </c>
      <c r="I539" s="4">
        <v>265.76</v>
      </c>
      <c r="J539" s="2">
        <v>45882</v>
      </c>
      <c r="K539" s="1" t="s">
        <v>1435</v>
      </c>
    </row>
    <row r="540" spans="1:11" x14ac:dyDescent="0.35">
      <c r="A540" s="3" t="s">
        <v>1407</v>
      </c>
      <c r="B540" s="1" t="s">
        <v>1408</v>
      </c>
      <c r="C540" s="1" t="s">
        <v>1415</v>
      </c>
      <c r="D540" s="1" t="str">
        <f>"6230"</f>
        <v>6230</v>
      </c>
      <c r="E540" s="1" t="str">
        <f>"016179616"</f>
        <v>016179616</v>
      </c>
      <c r="F540" s="1" t="s">
        <v>538</v>
      </c>
      <c r="G540" s="3" t="s">
        <v>15</v>
      </c>
      <c r="H540" s="3" t="str">
        <f>"6"</f>
        <v>6</v>
      </c>
      <c r="I540" s="4">
        <v>111.67</v>
      </c>
      <c r="J540" s="2">
        <v>45880</v>
      </c>
      <c r="K540" s="1" t="s">
        <v>1416</v>
      </c>
    </row>
    <row r="541" spans="1:11" x14ac:dyDescent="0.35">
      <c r="A541" s="3" t="s">
        <v>1407</v>
      </c>
      <c r="B541" s="1" t="s">
        <v>1420</v>
      </c>
      <c r="C541" s="1" t="s">
        <v>1428</v>
      </c>
      <c r="D541" s="1" t="str">
        <f>"8415"</f>
        <v>8415</v>
      </c>
      <c r="E541" s="1" t="str">
        <f>"015386747"</f>
        <v>015386747</v>
      </c>
      <c r="F541" s="1" t="s">
        <v>839</v>
      </c>
      <c r="G541" s="3" t="s">
        <v>15</v>
      </c>
      <c r="H541" s="3" t="str">
        <f>"8"</f>
        <v>8</v>
      </c>
      <c r="I541" s="4">
        <v>66.42</v>
      </c>
      <c r="J541" s="2">
        <v>45874</v>
      </c>
      <c r="K541" s="1" t="s">
        <v>1429</v>
      </c>
    </row>
    <row r="542" spans="1:11" x14ac:dyDescent="0.35">
      <c r="A542" s="3" t="s">
        <v>1407</v>
      </c>
      <c r="B542" s="1" t="s">
        <v>1420</v>
      </c>
      <c r="C542" s="1" t="s">
        <v>1424</v>
      </c>
      <c r="D542" s="1" t="str">
        <f>"8415"</f>
        <v>8415</v>
      </c>
      <c r="E542" s="1" t="str">
        <f>"015386747"</f>
        <v>015386747</v>
      </c>
      <c r="F542" s="1" t="s">
        <v>839</v>
      </c>
      <c r="G542" s="3" t="s">
        <v>15</v>
      </c>
      <c r="H542" s="3" t="str">
        <f>"7"</f>
        <v>7</v>
      </c>
      <c r="I542" s="4">
        <v>66.42</v>
      </c>
      <c r="J542" s="2">
        <v>45869</v>
      </c>
      <c r="K542" s="1" t="s">
        <v>1425</v>
      </c>
    </row>
    <row r="543" spans="1:11" x14ac:dyDescent="0.35">
      <c r="A543" s="3" t="s">
        <v>1407</v>
      </c>
      <c r="B543" s="1" t="s">
        <v>1420</v>
      </c>
      <c r="C543" s="1" t="s">
        <v>1436</v>
      </c>
      <c r="D543" s="1" t="str">
        <f>"8465"</f>
        <v>8465</v>
      </c>
      <c r="E543" s="1" t="str">
        <f>"014456274"</f>
        <v>014456274</v>
      </c>
      <c r="F543" s="1" t="s">
        <v>1434</v>
      </c>
      <c r="G543" s="3" t="s">
        <v>15</v>
      </c>
      <c r="H543" s="3" t="str">
        <f>"5"</f>
        <v>5</v>
      </c>
      <c r="I543" s="4">
        <v>265.76</v>
      </c>
      <c r="J543" s="2">
        <v>45861</v>
      </c>
      <c r="K543" s="1" t="s">
        <v>4312</v>
      </c>
    </row>
    <row r="544" spans="1:11" x14ac:dyDescent="0.35">
      <c r="A544" s="3" t="s">
        <v>1407</v>
      </c>
      <c r="B544" s="1" t="s">
        <v>1420</v>
      </c>
      <c r="C544" s="1" t="s">
        <v>1421</v>
      </c>
      <c r="D544" s="1" t="str">
        <f>"8115"</f>
        <v>8115</v>
      </c>
      <c r="E544" s="1" t="s">
        <v>1422</v>
      </c>
      <c r="F544" s="1" t="s">
        <v>1423</v>
      </c>
      <c r="G544" s="3" t="s">
        <v>15</v>
      </c>
      <c r="H544" s="3" t="str">
        <f>"5"</f>
        <v>5</v>
      </c>
      <c r="I544" s="4" t="str">
        <f>"250"</f>
        <v>250</v>
      </c>
      <c r="J544" s="2">
        <v>45860</v>
      </c>
      <c r="K544" s="1" t="s">
        <v>4312</v>
      </c>
    </row>
    <row r="545" spans="1:11" x14ac:dyDescent="0.35">
      <c r="A545" s="3" t="s">
        <v>1407</v>
      </c>
      <c r="B545" s="1" t="s">
        <v>1408</v>
      </c>
      <c r="C545" s="1" t="s">
        <v>1409</v>
      </c>
      <c r="D545" s="1" t="str">
        <f>"4240"</f>
        <v>4240</v>
      </c>
      <c r="E545" s="1" t="s">
        <v>1105</v>
      </c>
      <c r="F545" s="1" t="s">
        <v>1106</v>
      </c>
      <c r="G545" s="3" t="s">
        <v>15</v>
      </c>
      <c r="H545" s="3" t="str">
        <f>"30"</f>
        <v>30</v>
      </c>
      <c r="I545" s="4" t="str">
        <f>"20"</f>
        <v>20</v>
      </c>
      <c r="J545" s="2">
        <v>45846</v>
      </c>
      <c r="K545" s="1" t="s">
        <v>4312</v>
      </c>
    </row>
    <row r="546" spans="1:11" x14ac:dyDescent="0.35">
      <c r="A546" s="3" t="s">
        <v>1437</v>
      </c>
      <c r="B546" s="1" t="s">
        <v>1438</v>
      </c>
      <c r="C546" s="1" t="s">
        <v>1439</v>
      </c>
      <c r="D546" s="1" t="str">
        <f>"6510"</f>
        <v>6510</v>
      </c>
      <c r="E546" s="1" t="str">
        <f>"009355821"</f>
        <v>009355821</v>
      </c>
      <c r="F546" s="1" t="s">
        <v>1440</v>
      </c>
      <c r="G546" s="3" t="s">
        <v>1084</v>
      </c>
      <c r="H546" s="3" t="str">
        <f>"100"</f>
        <v>100</v>
      </c>
      <c r="I546" s="4">
        <v>6.93</v>
      </c>
      <c r="J546" s="2">
        <v>45846</v>
      </c>
      <c r="K546" s="1" t="s">
        <v>1441</v>
      </c>
    </row>
    <row r="547" spans="1:11" x14ac:dyDescent="0.35">
      <c r="A547" s="3" t="s">
        <v>1437</v>
      </c>
      <c r="B547" s="1" t="s">
        <v>1438</v>
      </c>
      <c r="C547" s="1" t="s">
        <v>1442</v>
      </c>
      <c r="D547" s="1" t="str">
        <f>"7210"</f>
        <v>7210</v>
      </c>
      <c r="E547" s="1" t="str">
        <f>"009356666"</f>
        <v>009356666</v>
      </c>
      <c r="F547" s="1" t="s">
        <v>1443</v>
      </c>
      <c r="G547" s="3" t="s">
        <v>15</v>
      </c>
      <c r="H547" s="3" t="str">
        <f>"100"</f>
        <v>100</v>
      </c>
      <c r="I547" s="4">
        <v>6.5</v>
      </c>
      <c r="J547" s="2">
        <v>45840</v>
      </c>
      <c r="K547" s="1" t="s">
        <v>1444</v>
      </c>
    </row>
    <row r="548" spans="1:11" x14ac:dyDescent="0.35">
      <c r="A548" s="3" t="s">
        <v>1445</v>
      </c>
      <c r="B548" s="1" t="s">
        <v>1446</v>
      </c>
      <c r="C548" s="1" t="s">
        <v>1447</v>
      </c>
      <c r="D548" s="1" t="str">
        <f>"2320"</f>
        <v>2320</v>
      </c>
      <c r="E548" s="1" t="str">
        <f>"004634580"</f>
        <v>004634580</v>
      </c>
      <c r="F548" s="1" t="s">
        <v>1448</v>
      </c>
      <c r="G548" s="3" t="s">
        <v>15</v>
      </c>
      <c r="H548" s="3" t="str">
        <f>"1"</f>
        <v>1</v>
      </c>
      <c r="I548" s="4" t="str">
        <f>"99120"</f>
        <v>99120</v>
      </c>
      <c r="J548" s="2">
        <v>45929</v>
      </c>
      <c r="K548" s="1" t="s">
        <v>1449</v>
      </c>
    </row>
    <row r="549" spans="1:11" x14ac:dyDescent="0.35">
      <c r="A549" s="3" t="s">
        <v>1445</v>
      </c>
      <c r="B549" s="1" t="s">
        <v>1693</v>
      </c>
      <c r="C549" s="1" t="s">
        <v>1697</v>
      </c>
      <c r="D549" s="1" t="str">
        <f>"2330"</f>
        <v>2330</v>
      </c>
      <c r="E549" s="1" t="str">
        <f>"011087367"</f>
        <v>011087367</v>
      </c>
      <c r="F549" s="1" t="s">
        <v>1698</v>
      </c>
      <c r="G549" s="3" t="s">
        <v>15</v>
      </c>
      <c r="H549" s="3" t="str">
        <f>"1"</f>
        <v>1</v>
      </c>
      <c r="I549" s="4" t="str">
        <f>"22000"</f>
        <v>22000</v>
      </c>
      <c r="J549" s="2">
        <v>45929</v>
      </c>
      <c r="K549" s="1" t="s">
        <v>1696</v>
      </c>
    </row>
    <row r="550" spans="1:11" x14ac:dyDescent="0.35">
      <c r="A550" s="3" t="s">
        <v>1445</v>
      </c>
      <c r="B550" s="1" t="s">
        <v>1459</v>
      </c>
      <c r="C550" s="1" t="s">
        <v>1472</v>
      </c>
      <c r="D550" s="1" t="str">
        <f>"4240"</f>
        <v>4240</v>
      </c>
      <c r="E550" s="1" t="str">
        <f>"014925720"</f>
        <v>014925720</v>
      </c>
      <c r="F550" s="1" t="s">
        <v>211</v>
      </c>
      <c r="G550" s="3" t="s">
        <v>15</v>
      </c>
      <c r="H550" s="3" t="str">
        <f>"9"</f>
        <v>9</v>
      </c>
      <c r="I550" s="4">
        <v>76.48</v>
      </c>
      <c r="J550" s="2">
        <v>45924</v>
      </c>
      <c r="K550" s="1" t="s">
        <v>1473</v>
      </c>
    </row>
    <row r="551" spans="1:11" x14ac:dyDescent="0.35">
      <c r="A551" s="3" t="s">
        <v>1445</v>
      </c>
      <c r="B551" s="1" t="s">
        <v>1459</v>
      </c>
      <c r="C551" s="1" t="s">
        <v>1544</v>
      </c>
      <c r="D551" s="1" t="str">
        <f>"6720"</f>
        <v>6720</v>
      </c>
      <c r="E551" s="1" t="s">
        <v>443</v>
      </c>
      <c r="F551" s="1" t="s">
        <v>444</v>
      </c>
      <c r="G551" s="3" t="s">
        <v>15</v>
      </c>
      <c r="H551" s="3" t="str">
        <f>"1"</f>
        <v>1</v>
      </c>
      <c r="I551" s="4" t="str">
        <f>"395"</f>
        <v>395</v>
      </c>
      <c r="J551" s="2">
        <v>45924</v>
      </c>
      <c r="K551" s="1" t="s">
        <v>1545</v>
      </c>
    </row>
    <row r="552" spans="1:11" x14ac:dyDescent="0.35">
      <c r="A552" s="3" t="s">
        <v>1445</v>
      </c>
      <c r="B552" s="1" t="s">
        <v>1459</v>
      </c>
      <c r="C552" s="1" t="s">
        <v>1546</v>
      </c>
      <c r="D552" s="1" t="str">
        <f>"6720"</f>
        <v>6720</v>
      </c>
      <c r="E552" s="1" t="s">
        <v>443</v>
      </c>
      <c r="F552" s="1" t="s">
        <v>444</v>
      </c>
      <c r="G552" s="3" t="s">
        <v>15</v>
      </c>
      <c r="H552" s="3" t="str">
        <f>"1"</f>
        <v>1</v>
      </c>
      <c r="I552" s="4" t="str">
        <f>"2200"</f>
        <v>2200</v>
      </c>
      <c r="J552" s="2">
        <v>45924</v>
      </c>
      <c r="K552" s="1" t="s">
        <v>1547</v>
      </c>
    </row>
    <row r="553" spans="1:11" x14ac:dyDescent="0.35">
      <c r="A553" s="3" t="s">
        <v>1445</v>
      </c>
      <c r="B553" s="1" t="s">
        <v>1459</v>
      </c>
      <c r="C553" s="1" t="s">
        <v>1548</v>
      </c>
      <c r="D553" s="1" t="str">
        <f>"6720"</f>
        <v>6720</v>
      </c>
      <c r="E553" s="1" t="s">
        <v>443</v>
      </c>
      <c r="F553" s="1" t="s">
        <v>444</v>
      </c>
      <c r="G553" s="3" t="s">
        <v>15</v>
      </c>
      <c r="H553" s="3" t="str">
        <f>"1"</f>
        <v>1</v>
      </c>
      <c r="I553" s="4">
        <v>1499.99</v>
      </c>
      <c r="J553" s="2">
        <v>45924</v>
      </c>
      <c r="K553" s="1" t="s">
        <v>1547</v>
      </c>
    </row>
    <row r="554" spans="1:11" x14ac:dyDescent="0.35">
      <c r="A554" s="3" t="s">
        <v>1445</v>
      </c>
      <c r="B554" s="1" t="s">
        <v>1459</v>
      </c>
      <c r="C554" s="1" t="s">
        <v>1549</v>
      </c>
      <c r="D554" s="1" t="str">
        <f>"6720"</f>
        <v>6720</v>
      </c>
      <c r="E554" s="1" t="str">
        <f>"015595685"</f>
        <v>015595685</v>
      </c>
      <c r="F554" s="1" t="s">
        <v>1550</v>
      </c>
      <c r="G554" s="3" t="s">
        <v>15</v>
      </c>
      <c r="H554" s="3" t="str">
        <f>"1"</f>
        <v>1</v>
      </c>
      <c r="I554" s="4">
        <v>1919.95</v>
      </c>
      <c r="J554" s="2">
        <v>45924</v>
      </c>
      <c r="K554" s="1" t="s">
        <v>1551</v>
      </c>
    </row>
    <row r="555" spans="1:11" x14ac:dyDescent="0.35">
      <c r="A555" s="3" t="s">
        <v>1445</v>
      </c>
      <c r="B555" s="1" t="s">
        <v>1459</v>
      </c>
      <c r="C555" s="1" t="s">
        <v>1577</v>
      </c>
      <c r="D555" s="1" t="str">
        <f>"6760"</f>
        <v>6760</v>
      </c>
      <c r="E555" s="1" t="str">
        <f>"016599948"</f>
        <v>016599948</v>
      </c>
      <c r="F555" s="1" t="s">
        <v>1578</v>
      </c>
      <c r="G555" s="3" t="s">
        <v>15</v>
      </c>
      <c r="H555" s="3" t="str">
        <f>"1"</f>
        <v>1</v>
      </c>
      <c r="I555" s="4">
        <v>210.71</v>
      </c>
      <c r="J555" s="2">
        <v>45924</v>
      </c>
      <c r="K555" s="1" t="s">
        <v>1551</v>
      </c>
    </row>
    <row r="556" spans="1:11" x14ac:dyDescent="0.35">
      <c r="A556" s="3" t="s">
        <v>1445</v>
      </c>
      <c r="B556" s="1" t="s">
        <v>1459</v>
      </c>
      <c r="C556" s="1" t="s">
        <v>1588</v>
      </c>
      <c r="D556" s="1" t="str">
        <f>"7025"</f>
        <v>7025</v>
      </c>
      <c r="E556" s="1" t="s">
        <v>1589</v>
      </c>
      <c r="F556" s="1" t="s">
        <v>1590</v>
      </c>
      <c r="G556" s="3" t="s">
        <v>15</v>
      </c>
      <c r="H556" s="3" t="str">
        <f>"1"</f>
        <v>1</v>
      </c>
      <c r="I556" s="4" t="str">
        <f>"139"</f>
        <v>139</v>
      </c>
      <c r="J556" s="2">
        <v>45924</v>
      </c>
      <c r="K556" s="1" t="s">
        <v>1531</v>
      </c>
    </row>
    <row r="557" spans="1:11" x14ac:dyDescent="0.35">
      <c r="A557" s="3" t="s">
        <v>1445</v>
      </c>
      <c r="B557" s="1" t="s">
        <v>1446</v>
      </c>
      <c r="C557" s="1" t="s">
        <v>1452</v>
      </c>
      <c r="D557" s="1" t="str">
        <f>"5411"</f>
        <v>5411</v>
      </c>
      <c r="E557" s="1" t="str">
        <f>"013046121"</f>
        <v>013046121</v>
      </c>
      <c r="F557" s="1" t="s">
        <v>1453</v>
      </c>
      <c r="G557" s="3" t="s">
        <v>15</v>
      </c>
      <c r="H557" s="3" t="str">
        <f>"1"</f>
        <v>1</v>
      </c>
      <c r="I557" s="4" t="str">
        <f>"81330"</f>
        <v>81330</v>
      </c>
      <c r="J557" s="2">
        <v>45919</v>
      </c>
      <c r="K557" s="1" t="s">
        <v>1454</v>
      </c>
    </row>
    <row r="558" spans="1:11" x14ac:dyDescent="0.35">
      <c r="A558" s="3" t="s">
        <v>1445</v>
      </c>
      <c r="B558" s="1" t="s">
        <v>1446</v>
      </c>
      <c r="C558" s="1" t="s">
        <v>1455</v>
      </c>
      <c r="D558" s="1" t="str">
        <f>"5411"</f>
        <v>5411</v>
      </c>
      <c r="E558" s="1" t="str">
        <f>"013046121"</f>
        <v>013046121</v>
      </c>
      <c r="F558" s="1" t="s">
        <v>1453</v>
      </c>
      <c r="G558" s="3" t="s">
        <v>15</v>
      </c>
      <c r="H558" s="3" t="str">
        <f>"1"</f>
        <v>1</v>
      </c>
      <c r="I558" s="4" t="str">
        <f>"81330"</f>
        <v>81330</v>
      </c>
      <c r="J558" s="2">
        <v>45919</v>
      </c>
      <c r="K558" s="1" t="s">
        <v>1454</v>
      </c>
    </row>
    <row r="559" spans="1:11" x14ac:dyDescent="0.35">
      <c r="A559" s="3" t="s">
        <v>1445</v>
      </c>
      <c r="B559" s="1" t="s">
        <v>1629</v>
      </c>
      <c r="C559" s="1" t="s">
        <v>1655</v>
      </c>
      <c r="D559" s="1" t="str">
        <f>"8105"</f>
        <v>8105</v>
      </c>
      <c r="E559" s="1" t="str">
        <f>"001429345"</f>
        <v>001429345</v>
      </c>
      <c r="F559" s="1" t="s">
        <v>1656</v>
      </c>
      <c r="G559" s="3" t="s">
        <v>1657</v>
      </c>
      <c r="H559" s="3" t="str">
        <f>"52"</f>
        <v>52</v>
      </c>
      <c r="I559" s="4">
        <v>74.75</v>
      </c>
      <c r="J559" s="2">
        <v>45915</v>
      </c>
      <c r="K559" s="1" t="s">
        <v>1658</v>
      </c>
    </row>
    <row r="560" spans="1:11" x14ac:dyDescent="0.35">
      <c r="A560" s="3" t="s">
        <v>1445</v>
      </c>
      <c r="B560" s="1" t="s">
        <v>1693</v>
      </c>
      <c r="C560" s="1" t="s">
        <v>1694</v>
      </c>
      <c r="D560" s="1" t="str">
        <f>"2330"</f>
        <v>2330</v>
      </c>
      <c r="E560" s="1" t="str">
        <f>"010915167"</f>
        <v>010915167</v>
      </c>
      <c r="F560" s="1" t="s">
        <v>1695</v>
      </c>
      <c r="G560" s="3" t="s">
        <v>15</v>
      </c>
      <c r="H560" s="3" t="str">
        <f>"1"</f>
        <v>1</v>
      </c>
      <c r="I560" s="4">
        <v>19686.78</v>
      </c>
      <c r="J560" s="2">
        <v>45912</v>
      </c>
      <c r="K560" s="1" t="s">
        <v>1696</v>
      </c>
    </row>
    <row r="561" spans="1:11" x14ac:dyDescent="0.35">
      <c r="A561" s="3" t="s">
        <v>1445</v>
      </c>
      <c r="B561" s="1" t="s">
        <v>1629</v>
      </c>
      <c r="C561" s="1" t="s">
        <v>1659</v>
      </c>
      <c r="D561" s="1" t="str">
        <f>"8105"</f>
        <v>8105</v>
      </c>
      <c r="E561" s="1" t="str">
        <f>"001429345"</f>
        <v>001429345</v>
      </c>
      <c r="F561" s="1" t="s">
        <v>1656</v>
      </c>
      <c r="G561" s="3" t="s">
        <v>1657</v>
      </c>
      <c r="H561" s="3" t="str">
        <f>"500"</f>
        <v>500</v>
      </c>
      <c r="I561" s="4">
        <v>74.75</v>
      </c>
      <c r="J561" s="2">
        <v>45911</v>
      </c>
      <c r="K561" s="1" t="s">
        <v>1658</v>
      </c>
    </row>
    <row r="562" spans="1:11" x14ac:dyDescent="0.35">
      <c r="A562" s="3" t="s">
        <v>1445</v>
      </c>
      <c r="B562" s="1" t="s">
        <v>1446</v>
      </c>
      <c r="C562" s="1" t="s">
        <v>1450</v>
      </c>
      <c r="D562" s="1" t="str">
        <f>"3930"</f>
        <v>3930</v>
      </c>
      <c r="E562" s="1" t="s">
        <v>150</v>
      </c>
      <c r="F562" s="1" t="s">
        <v>151</v>
      </c>
      <c r="G562" s="3" t="s">
        <v>15</v>
      </c>
      <c r="H562" s="3" t="str">
        <f>"1"</f>
        <v>1</v>
      </c>
      <c r="I562" s="4" t="str">
        <f>"19673"</f>
        <v>19673</v>
      </c>
      <c r="J562" s="2">
        <v>45910</v>
      </c>
      <c r="K562" s="1" t="s">
        <v>1451</v>
      </c>
    </row>
    <row r="563" spans="1:11" x14ac:dyDescent="0.35">
      <c r="A563" s="3" t="s">
        <v>1445</v>
      </c>
      <c r="B563" s="1" t="s">
        <v>1446</v>
      </c>
      <c r="C563" s="1" t="s">
        <v>1456</v>
      </c>
      <c r="D563" s="1" t="str">
        <f>"5411"</f>
        <v>5411</v>
      </c>
      <c r="E563" s="1" t="str">
        <f>"013554322"</f>
        <v>013554322</v>
      </c>
      <c r="F563" s="1" t="s">
        <v>1453</v>
      </c>
      <c r="G563" s="3" t="s">
        <v>15</v>
      </c>
      <c r="H563" s="3" t="str">
        <f>"1"</f>
        <v>1</v>
      </c>
      <c r="I563" s="4" t="str">
        <f>"2500"</f>
        <v>2500</v>
      </c>
      <c r="J563" s="2">
        <v>45910</v>
      </c>
      <c r="K563" s="1" t="s">
        <v>1457</v>
      </c>
    </row>
    <row r="564" spans="1:11" x14ac:dyDescent="0.35">
      <c r="A564" s="3" t="s">
        <v>1445</v>
      </c>
      <c r="B564" s="1" t="s">
        <v>1446</v>
      </c>
      <c r="C564" s="1" t="s">
        <v>1458</v>
      </c>
      <c r="D564" s="1" t="str">
        <f>"5411"</f>
        <v>5411</v>
      </c>
      <c r="E564" s="1" t="str">
        <f>"013554322"</f>
        <v>013554322</v>
      </c>
      <c r="F564" s="1" t="s">
        <v>1453</v>
      </c>
      <c r="G564" s="3" t="s">
        <v>15</v>
      </c>
      <c r="H564" s="3" t="str">
        <f>"1"</f>
        <v>1</v>
      </c>
      <c r="I564" s="4" t="str">
        <f>"2500"</f>
        <v>2500</v>
      </c>
      <c r="J564" s="2">
        <v>45910</v>
      </c>
      <c r="K564" s="1" t="s">
        <v>1457</v>
      </c>
    </row>
    <row r="565" spans="1:11" x14ac:dyDescent="0.35">
      <c r="A565" s="3" t="s">
        <v>1445</v>
      </c>
      <c r="B565" s="1" t="s">
        <v>1459</v>
      </c>
      <c r="C565" s="1" t="s">
        <v>1522</v>
      </c>
      <c r="D565" s="1" t="str">
        <f>"6230"</f>
        <v>6230</v>
      </c>
      <c r="E565" s="1" t="str">
        <f>"015493979"</f>
        <v>015493979</v>
      </c>
      <c r="F565" s="1" t="s">
        <v>538</v>
      </c>
      <c r="G565" s="3" t="s">
        <v>15</v>
      </c>
      <c r="H565" s="3" t="str">
        <f>"1"</f>
        <v>1</v>
      </c>
      <c r="I565" s="4">
        <v>4295.8100000000004</v>
      </c>
      <c r="J565" s="2">
        <v>45910</v>
      </c>
      <c r="K565" s="1" t="s">
        <v>1523</v>
      </c>
    </row>
    <row r="566" spans="1:11" x14ac:dyDescent="0.35">
      <c r="A566" s="3" t="s">
        <v>1445</v>
      </c>
      <c r="B566" s="1" t="s">
        <v>1459</v>
      </c>
      <c r="C566" s="1" t="s">
        <v>1559</v>
      </c>
      <c r="D566" s="1" t="str">
        <f>"6760"</f>
        <v>6760</v>
      </c>
      <c r="E566" s="1" t="s">
        <v>676</v>
      </c>
      <c r="F566" s="1" t="s">
        <v>677</v>
      </c>
      <c r="G566" s="3" t="s">
        <v>15</v>
      </c>
      <c r="H566" s="3" t="str">
        <f>"1"</f>
        <v>1</v>
      </c>
      <c r="I566" s="4">
        <v>874.95</v>
      </c>
      <c r="J566" s="2">
        <v>45910</v>
      </c>
      <c r="K566" s="1" t="s">
        <v>1560</v>
      </c>
    </row>
    <row r="567" spans="1:11" x14ac:dyDescent="0.35">
      <c r="A567" s="3" t="s">
        <v>1445</v>
      </c>
      <c r="B567" s="1" t="s">
        <v>1629</v>
      </c>
      <c r="C567" s="1" t="s">
        <v>1648</v>
      </c>
      <c r="D567" s="1" t="str">
        <f>"5985"</f>
        <v>5985</v>
      </c>
      <c r="E567" s="1" t="str">
        <f>"013816341"</f>
        <v>013816341</v>
      </c>
      <c r="F567" s="1" t="s">
        <v>1649</v>
      </c>
      <c r="G567" s="3" t="s">
        <v>15</v>
      </c>
      <c r="H567" s="3" t="str">
        <f>"15"</f>
        <v>15</v>
      </c>
      <c r="I567" s="4">
        <v>6874.21</v>
      </c>
      <c r="J567" s="2">
        <v>45909</v>
      </c>
      <c r="K567" s="1" t="s">
        <v>1650</v>
      </c>
    </row>
    <row r="568" spans="1:11" x14ac:dyDescent="0.35">
      <c r="A568" s="3" t="s">
        <v>1445</v>
      </c>
      <c r="B568" s="1" t="s">
        <v>1459</v>
      </c>
      <c r="C568" s="1" t="s">
        <v>1477</v>
      </c>
      <c r="D568" s="1" t="str">
        <f>"5815"</f>
        <v>5815</v>
      </c>
      <c r="E568" s="1" t="str">
        <f>"011183412"</f>
        <v>011183412</v>
      </c>
      <c r="F568" s="1" t="s">
        <v>1478</v>
      </c>
      <c r="G568" s="3" t="s">
        <v>15</v>
      </c>
      <c r="H568" s="3" t="str">
        <f>"1"</f>
        <v>1</v>
      </c>
      <c r="I568" s="4">
        <v>942.89</v>
      </c>
      <c r="J568" s="2">
        <v>45908</v>
      </c>
      <c r="K568" s="1" t="s">
        <v>1479</v>
      </c>
    </row>
    <row r="569" spans="1:11" x14ac:dyDescent="0.35">
      <c r="A569" s="3" t="s">
        <v>1445</v>
      </c>
      <c r="B569" s="1" t="s">
        <v>1459</v>
      </c>
      <c r="C569" s="1" t="s">
        <v>1563</v>
      </c>
      <c r="D569" s="1" t="str">
        <f>"6760"</f>
        <v>6760</v>
      </c>
      <c r="E569" s="1" t="s">
        <v>676</v>
      </c>
      <c r="F569" s="1" t="s">
        <v>677</v>
      </c>
      <c r="G569" s="3" t="s">
        <v>15</v>
      </c>
      <c r="H569" s="3" t="str">
        <f>"13"</f>
        <v>13</v>
      </c>
      <c r="I569" s="4">
        <v>296.95</v>
      </c>
      <c r="J569" s="2">
        <v>45908</v>
      </c>
      <c r="K569" s="1" t="s">
        <v>1564</v>
      </c>
    </row>
    <row r="570" spans="1:11" x14ac:dyDescent="0.35">
      <c r="A570" s="3" t="s">
        <v>1445</v>
      </c>
      <c r="B570" s="1" t="s">
        <v>1459</v>
      </c>
      <c r="C570" s="1" t="s">
        <v>1565</v>
      </c>
      <c r="D570" s="1" t="str">
        <f>"6760"</f>
        <v>6760</v>
      </c>
      <c r="E570" s="1" t="s">
        <v>671</v>
      </c>
      <c r="F570" s="1" t="s">
        <v>672</v>
      </c>
      <c r="G570" s="3" t="s">
        <v>15</v>
      </c>
      <c r="H570" s="3" t="str">
        <f>"12"</f>
        <v>12</v>
      </c>
      <c r="I570" s="4">
        <v>369.65</v>
      </c>
      <c r="J570" s="2">
        <v>45908</v>
      </c>
      <c r="K570" s="1" t="s">
        <v>1566</v>
      </c>
    </row>
    <row r="571" spans="1:11" x14ac:dyDescent="0.35">
      <c r="A571" s="3" t="s">
        <v>1445</v>
      </c>
      <c r="B571" s="1" t="s">
        <v>1459</v>
      </c>
      <c r="C571" s="1" t="s">
        <v>1567</v>
      </c>
      <c r="D571" s="1" t="str">
        <f>"6760"</f>
        <v>6760</v>
      </c>
      <c r="E571" s="1" t="s">
        <v>671</v>
      </c>
      <c r="F571" s="1" t="s">
        <v>672</v>
      </c>
      <c r="G571" s="3" t="s">
        <v>15</v>
      </c>
      <c r="H571" s="3" t="str">
        <f>"15"</f>
        <v>15</v>
      </c>
      <c r="I571" s="4">
        <v>386.95</v>
      </c>
      <c r="J571" s="2">
        <v>45908</v>
      </c>
      <c r="K571" s="1" t="s">
        <v>1566</v>
      </c>
    </row>
    <row r="572" spans="1:11" x14ac:dyDescent="0.35">
      <c r="A572" s="3" t="s">
        <v>1445</v>
      </c>
      <c r="B572" s="1" t="s">
        <v>1459</v>
      </c>
      <c r="C572" s="1" t="s">
        <v>1568</v>
      </c>
      <c r="D572" s="1" t="str">
        <f>"6760"</f>
        <v>6760</v>
      </c>
      <c r="E572" s="1" t="s">
        <v>671</v>
      </c>
      <c r="F572" s="1" t="s">
        <v>672</v>
      </c>
      <c r="G572" s="3" t="s">
        <v>15</v>
      </c>
      <c r="H572" s="3" t="str">
        <f>"18"</f>
        <v>18</v>
      </c>
      <c r="I572" s="4">
        <v>290.86</v>
      </c>
      <c r="J572" s="2">
        <v>45908</v>
      </c>
      <c r="K572" s="1" t="s">
        <v>1566</v>
      </c>
    </row>
    <row r="573" spans="1:11" x14ac:dyDescent="0.35">
      <c r="A573" s="3" t="s">
        <v>1445</v>
      </c>
      <c r="B573" s="1" t="s">
        <v>1459</v>
      </c>
      <c r="C573" s="1" t="s">
        <v>1514</v>
      </c>
      <c r="D573" s="1" t="str">
        <f>"5860"</f>
        <v>5860</v>
      </c>
      <c r="E573" s="1" t="str">
        <f>"015584706"</f>
        <v>015584706</v>
      </c>
      <c r="F573" s="1" t="s">
        <v>1515</v>
      </c>
      <c r="G573" s="3" t="s">
        <v>15</v>
      </c>
      <c r="H573" s="3" t="str">
        <f>"18"</f>
        <v>18</v>
      </c>
      <c r="I573" s="4" t="str">
        <f>"1724"</f>
        <v>1724</v>
      </c>
      <c r="J573" s="2">
        <v>45905</v>
      </c>
      <c r="K573" s="1" t="s">
        <v>1516</v>
      </c>
    </row>
    <row r="574" spans="1:11" x14ac:dyDescent="0.35">
      <c r="A574" s="3" t="s">
        <v>1445</v>
      </c>
      <c r="B574" s="1" t="s">
        <v>1459</v>
      </c>
      <c r="C574" s="1" t="s">
        <v>1569</v>
      </c>
      <c r="D574" s="1" t="str">
        <f>"6760"</f>
        <v>6760</v>
      </c>
      <c r="E574" s="1" t="s">
        <v>1570</v>
      </c>
      <c r="F574" s="1" t="s">
        <v>1571</v>
      </c>
      <c r="G574" s="3" t="s">
        <v>15</v>
      </c>
      <c r="H574" s="3" t="str">
        <f>"1"</f>
        <v>1</v>
      </c>
      <c r="I574" s="4" t="str">
        <f>"500"</f>
        <v>500</v>
      </c>
      <c r="J574" s="2">
        <v>45905</v>
      </c>
      <c r="K574" s="1" t="s">
        <v>1572</v>
      </c>
    </row>
    <row r="575" spans="1:11" x14ac:dyDescent="0.35">
      <c r="A575" s="3" t="s">
        <v>1445</v>
      </c>
      <c r="B575" s="1" t="s">
        <v>1459</v>
      </c>
      <c r="C575" s="1" t="s">
        <v>1573</v>
      </c>
      <c r="D575" s="1" t="str">
        <f>"6760"</f>
        <v>6760</v>
      </c>
      <c r="E575" s="1" t="s">
        <v>1570</v>
      </c>
      <c r="F575" s="1" t="s">
        <v>1571</v>
      </c>
      <c r="G575" s="3" t="s">
        <v>15</v>
      </c>
      <c r="H575" s="3" t="str">
        <f>"1"</f>
        <v>1</v>
      </c>
      <c r="I575" s="4" t="str">
        <f>"700"</f>
        <v>700</v>
      </c>
      <c r="J575" s="2">
        <v>45905</v>
      </c>
      <c r="K575" s="1" t="s">
        <v>1574</v>
      </c>
    </row>
    <row r="576" spans="1:11" x14ac:dyDescent="0.35">
      <c r="A576" s="3" t="s">
        <v>1445</v>
      </c>
      <c r="B576" s="1" t="s">
        <v>1682</v>
      </c>
      <c r="C576" s="1" t="s">
        <v>1683</v>
      </c>
      <c r="D576" s="1" t="str">
        <f>"1615"</f>
        <v>1615</v>
      </c>
      <c r="E576" s="1" t="str">
        <f>"004822539"</f>
        <v>004822539</v>
      </c>
      <c r="F576" s="1" t="s">
        <v>1684</v>
      </c>
      <c r="G576" s="3" t="s">
        <v>15</v>
      </c>
      <c r="H576" s="3" t="str">
        <f>"4"</f>
        <v>4</v>
      </c>
      <c r="I576" s="4">
        <v>341.82</v>
      </c>
      <c r="J576" s="2">
        <v>45905</v>
      </c>
      <c r="K576" s="1" t="s">
        <v>1685</v>
      </c>
    </row>
    <row r="577" spans="1:11" x14ac:dyDescent="0.35">
      <c r="A577" s="3" t="s">
        <v>1445</v>
      </c>
      <c r="B577" s="1" t="s">
        <v>1459</v>
      </c>
      <c r="C577" s="1" t="s">
        <v>1596</v>
      </c>
      <c r="D577" s="1" t="str">
        <f>"8115"</f>
        <v>8115</v>
      </c>
      <c r="E577" s="1" t="s">
        <v>1422</v>
      </c>
      <c r="F577" s="1" t="s">
        <v>1423</v>
      </c>
      <c r="G577" s="3" t="s">
        <v>15</v>
      </c>
      <c r="H577" s="3" t="str">
        <f>"1"</f>
        <v>1</v>
      </c>
      <c r="I577" s="4" t="str">
        <f>"500"</f>
        <v>500</v>
      </c>
      <c r="J577" s="2">
        <v>45898</v>
      </c>
      <c r="K577" s="1" t="s">
        <v>1597</v>
      </c>
    </row>
    <row r="578" spans="1:11" x14ac:dyDescent="0.35">
      <c r="A578" s="3" t="s">
        <v>1445</v>
      </c>
      <c r="B578" s="1" t="s">
        <v>1459</v>
      </c>
      <c r="C578" s="1" t="s">
        <v>1470</v>
      </c>
      <c r="D578" s="1" t="str">
        <f>"2360"</f>
        <v>2360</v>
      </c>
      <c r="E578" s="1" t="str">
        <f>"016629084"</f>
        <v>016629084</v>
      </c>
      <c r="F578" s="1" t="s">
        <v>14</v>
      </c>
      <c r="G578" s="3" t="s">
        <v>15</v>
      </c>
      <c r="H578" s="3" t="str">
        <f>"1"</f>
        <v>1</v>
      </c>
      <c r="I578" s="4" t="str">
        <f>"200000"</f>
        <v>200000</v>
      </c>
      <c r="J578" s="2">
        <v>45897</v>
      </c>
      <c r="K578" s="1" t="s">
        <v>1471</v>
      </c>
    </row>
    <row r="579" spans="1:11" x14ac:dyDescent="0.35">
      <c r="A579" s="3" t="s">
        <v>1445</v>
      </c>
      <c r="B579" s="1" t="s">
        <v>1459</v>
      </c>
      <c r="C579" s="1" t="s">
        <v>1483</v>
      </c>
      <c r="D579" s="1" t="str">
        <f>"5820"</f>
        <v>5820</v>
      </c>
      <c r="E579" s="1" t="str">
        <f>"016683960"</f>
        <v>016683960</v>
      </c>
      <c r="F579" s="1" t="s">
        <v>1481</v>
      </c>
      <c r="G579" s="3" t="s">
        <v>15</v>
      </c>
      <c r="H579" s="3" t="str">
        <f>"15"</f>
        <v>15</v>
      </c>
      <c r="I579" s="4">
        <v>1252.83</v>
      </c>
      <c r="J579" s="2">
        <v>45897</v>
      </c>
      <c r="K579" s="1" t="s">
        <v>1484</v>
      </c>
    </row>
    <row r="580" spans="1:11" x14ac:dyDescent="0.35">
      <c r="A580" s="3" t="s">
        <v>1445</v>
      </c>
      <c r="B580" s="1" t="s">
        <v>1459</v>
      </c>
      <c r="C580" s="1" t="s">
        <v>1517</v>
      </c>
      <c r="D580" s="1" t="str">
        <f>"5860"</f>
        <v>5860</v>
      </c>
      <c r="E580" s="1" t="str">
        <f>"015584706"</f>
        <v>015584706</v>
      </c>
      <c r="F580" s="1" t="s">
        <v>1515</v>
      </c>
      <c r="G580" s="3" t="s">
        <v>15</v>
      </c>
      <c r="H580" s="3" t="str">
        <f>"2"</f>
        <v>2</v>
      </c>
      <c r="I580" s="4" t="str">
        <f>"1724"</f>
        <v>1724</v>
      </c>
      <c r="J580" s="2">
        <v>45896</v>
      </c>
      <c r="K580" s="1" t="s">
        <v>1518</v>
      </c>
    </row>
    <row r="581" spans="1:11" x14ac:dyDescent="0.35">
      <c r="A581" s="3" t="s">
        <v>1445</v>
      </c>
      <c r="B581" s="1" t="s">
        <v>1459</v>
      </c>
      <c r="C581" s="1" t="s">
        <v>1554</v>
      </c>
      <c r="D581" s="1" t="str">
        <f>"6720"</f>
        <v>6720</v>
      </c>
      <c r="E581" s="1" t="s">
        <v>443</v>
      </c>
      <c r="F581" s="1" t="s">
        <v>444</v>
      </c>
      <c r="G581" s="3" t="s">
        <v>15</v>
      </c>
      <c r="H581" s="3" t="str">
        <f>"1"</f>
        <v>1</v>
      </c>
      <c r="I581" s="4">
        <v>817.17</v>
      </c>
      <c r="J581" s="2">
        <v>45891</v>
      </c>
      <c r="K581" s="1" t="s">
        <v>1555</v>
      </c>
    </row>
    <row r="582" spans="1:11" x14ac:dyDescent="0.35">
      <c r="A582" s="3" t="s">
        <v>1445</v>
      </c>
      <c r="B582" s="1" t="s">
        <v>1459</v>
      </c>
      <c r="C582" s="1" t="s">
        <v>1561</v>
      </c>
      <c r="D582" s="1" t="str">
        <f>"6760"</f>
        <v>6760</v>
      </c>
      <c r="E582" s="1" t="s">
        <v>671</v>
      </c>
      <c r="F582" s="1" t="s">
        <v>672</v>
      </c>
      <c r="G582" s="3" t="s">
        <v>15</v>
      </c>
      <c r="H582" s="3" t="str">
        <f>"10"</f>
        <v>10</v>
      </c>
      <c r="I582" s="4" t="str">
        <f>"300"</f>
        <v>300</v>
      </c>
      <c r="J582" s="2">
        <v>45890</v>
      </c>
      <c r="K582" s="1" t="s">
        <v>1562</v>
      </c>
    </row>
    <row r="583" spans="1:11" x14ac:dyDescent="0.35">
      <c r="A583" s="3" t="s">
        <v>1445</v>
      </c>
      <c r="B583" s="1" t="s">
        <v>1459</v>
      </c>
      <c r="C583" s="1" t="s">
        <v>1598</v>
      </c>
      <c r="D583" s="1" t="str">
        <f>"8140"</f>
        <v>8140</v>
      </c>
      <c r="E583" s="1" t="str">
        <f>"008282938"</f>
        <v>008282938</v>
      </c>
      <c r="F583" s="1" t="s">
        <v>1599</v>
      </c>
      <c r="G583" s="3" t="s">
        <v>15</v>
      </c>
      <c r="H583" s="3" t="str">
        <f>"12"</f>
        <v>12</v>
      </c>
      <c r="I583" s="4">
        <v>3.88</v>
      </c>
      <c r="J583" s="2">
        <v>45888</v>
      </c>
      <c r="K583" s="1" t="s">
        <v>1600</v>
      </c>
    </row>
    <row r="584" spans="1:11" x14ac:dyDescent="0.35">
      <c r="A584" s="3" t="s">
        <v>1445</v>
      </c>
      <c r="B584" s="1" t="s">
        <v>1629</v>
      </c>
      <c r="C584" s="1" t="s">
        <v>1630</v>
      </c>
      <c r="D584" s="1" t="str">
        <f>"2530"</f>
        <v>2530</v>
      </c>
      <c r="E584" s="1" t="str">
        <f>"015582138"</f>
        <v>015582138</v>
      </c>
      <c r="F584" s="1" t="s">
        <v>1631</v>
      </c>
      <c r="G584" s="3" t="s">
        <v>1632</v>
      </c>
      <c r="H584" s="3" t="str">
        <f>"12"</f>
        <v>12</v>
      </c>
      <c r="I584" s="4" t="str">
        <f>"2386"</f>
        <v>2386</v>
      </c>
      <c r="J584" s="2">
        <v>45884</v>
      </c>
      <c r="K584" s="1" t="s">
        <v>1633</v>
      </c>
    </row>
    <row r="585" spans="1:11" x14ac:dyDescent="0.35">
      <c r="A585" s="3" t="s">
        <v>1445</v>
      </c>
      <c r="B585" s="1" t="s">
        <v>1629</v>
      </c>
      <c r="C585" s="1" t="s">
        <v>1639</v>
      </c>
      <c r="D585" s="1" t="str">
        <f>"4240"</f>
        <v>4240</v>
      </c>
      <c r="E585" s="1" t="str">
        <f>"016307493"</f>
        <v>016307493</v>
      </c>
      <c r="F585" s="1" t="s">
        <v>214</v>
      </c>
      <c r="G585" s="3" t="s">
        <v>15</v>
      </c>
      <c r="H585" s="3" t="str">
        <f>"22"</f>
        <v>22</v>
      </c>
      <c r="I585" s="4">
        <v>45.58</v>
      </c>
      <c r="J585" s="2">
        <v>45884</v>
      </c>
      <c r="K585" s="1" t="s">
        <v>1640</v>
      </c>
    </row>
    <row r="586" spans="1:11" x14ac:dyDescent="0.35">
      <c r="A586" s="3" t="s">
        <v>1445</v>
      </c>
      <c r="B586" s="1" t="s">
        <v>1629</v>
      </c>
      <c r="C586" s="1" t="s">
        <v>1641</v>
      </c>
      <c r="D586" s="1" t="str">
        <f>"4240"</f>
        <v>4240</v>
      </c>
      <c r="E586" s="1" t="str">
        <f>"016307493"</f>
        <v>016307493</v>
      </c>
      <c r="F586" s="1" t="s">
        <v>214</v>
      </c>
      <c r="G586" s="3" t="s">
        <v>15</v>
      </c>
      <c r="H586" s="3" t="str">
        <f>"27"</f>
        <v>27</v>
      </c>
      <c r="I586" s="4">
        <v>45.58</v>
      </c>
      <c r="J586" s="2">
        <v>45884</v>
      </c>
      <c r="K586" s="1" t="s">
        <v>1640</v>
      </c>
    </row>
    <row r="587" spans="1:11" x14ac:dyDescent="0.35">
      <c r="A587" s="3" t="s">
        <v>1445</v>
      </c>
      <c r="B587" s="1" t="s">
        <v>1629</v>
      </c>
      <c r="C587" s="1" t="s">
        <v>1642</v>
      </c>
      <c r="D587" s="1" t="str">
        <f>"4240"</f>
        <v>4240</v>
      </c>
      <c r="E587" s="1" t="str">
        <f>"016308327"</f>
        <v>016308327</v>
      </c>
      <c r="F587" s="1" t="s">
        <v>214</v>
      </c>
      <c r="G587" s="3" t="s">
        <v>15</v>
      </c>
      <c r="H587" s="3" t="str">
        <f>"35"</f>
        <v>35</v>
      </c>
      <c r="I587" s="4">
        <v>47.84</v>
      </c>
      <c r="J587" s="2">
        <v>45884</v>
      </c>
      <c r="K587" s="1" t="s">
        <v>1643</v>
      </c>
    </row>
    <row r="588" spans="1:11" x14ac:dyDescent="0.35">
      <c r="A588" s="3" t="s">
        <v>1445</v>
      </c>
      <c r="B588" s="1" t="s">
        <v>1459</v>
      </c>
      <c r="C588" s="1" t="s">
        <v>1538</v>
      </c>
      <c r="D588" s="1" t="str">
        <f>"6625"</f>
        <v>6625</v>
      </c>
      <c r="E588" s="1" t="str">
        <f>"012754766"</f>
        <v>012754766</v>
      </c>
      <c r="F588" s="1" t="s">
        <v>1539</v>
      </c>
      <c r="G588" s="3" t="s">
        <v>15</v>
      </c>
      <c r="H588" s="3" t="str">
        <f>"1"</f>
        <v>1</v>
      </c>
      <c r="I588" s="4">
        <v>1066.05</v>
      </c>
      <c r="J588" s="2">
        <v>45883</v>
      </c>
      <c r="K588" s="1" t="s">
        <v>1540</v>
      </c>
    </row>
    <row r="589" spans="1:11" x14ac:dyDescent="0.35">
      <c r="A589" s="3" t="s">
        <v>1445</v>
      </c>
      <c r="B589" s="1" t="s">
        <v>1459</v>
      </c>
      <c r="C589" s="1" t="s">
        <v>1605</v>
      </c>
      <c r="D589" s="1" t="str">
        <f>"8415"</f>
        <v>8415</v>
      </c>
      <c r="E589" s="1" t="s">
        <v>1606</v>
      </c>
      <c r="F589" s="1" t="s">
        <v>1607</v>
      </c>
      <c r="G589" s="3" t="s">
        <v>15</v>
      </c>
      <c r="H589" s="3" t="str">
        <f>"5"</f>
        <v>5</v>
      </c>
      <c r="I589" s="4" t="str">
        <f>"50"</f>
        <v>50</v>
      </c>
      <c r="J589" s="2">
        <v>45883</v>
      </c>
      <c r="K589" s="1" t="s">
        <v>1608</v>
      </c>
    </row>
    <row r="590" spans="1:11" x14ac:dyDescent="0.35">
      <c r="A590" s="3" t="s">
        <v>1445</v>
      </c>
      <c r="B590" s="1" t="s">
        <v>1459</v>
      </c>
      <c r="C590" s="1" t="s">
        <v>1609</v>
      </c>
      <c r="D590" s="1" t="str">
        <f>"8415"</f>
        <v>8415</v>
      </c>
      <c r="E590" s="1" t="s">
        <v>1606</v>
      </c>
      <c r="F590" s="1" t="s">
        <v>1607</v>
      </c>
      <c r="G590" s="3" t="s">
        <v>15</v>
      </c>
      <c r="H590" s="3" t="str">
        <f>"5"</f>
        <v>5</v>
      </c>
      <c r="I590" s="4" t="str">
        <f>"50"</f>
        <v>50</v>
      </c>
      <c r="J590" s="2">
        <v>45883</v>
      </c>
      <c r="K590" s="1" t="s">
        <v>1608</v>
      </c>
    </row>
    <row r="591" spans="1:11" x14ac:dyDescent="0.35">
      <c r="A591" s="3" t="s">
        <v>1445</v>
      </c>
      <c r="B591" s="1" t="s">
        <v>1459</v>
      </c>
      <c r="C591" s="1" t="s">
        <v>1612</v>
      </c>
      <c r="D591" s="1" t="str">
        <f>"8415"</f>
        <v>8415</v>
      </c>
      <c r="E591" s="1" t="s">
        <v>1606</v>
      </c>
      <c r="F591" s="1" t="s">
        <v>1607</v>
      </c>
      <c r="G591" s="3" t="s">
        <v>15</v>
      </c>
      <c r="H591" s="3" t="str">
        <f>"5"</f>
        <v>5</v>
      </c>
      <c r="I591" s="4" t="str">
        <f>"50"</f>
        <v>50</v>
      </c>
      <c r="J591" s="2">
        <v>45883</v>
      </c>
      <c r="K591" s="1" t="s">
        <v>1608</v>
      </c>
    </row>
    <row r="592" spans="1:11" x14ac:dyDescent="0.35">
      <c r="A592" s="3" t="s">
        <v>1445</v>
      </c>
      <c r="B592" s="1" t="s">
        <v>1459</v>
      </c>
      <c r="C592" s="1" t="s">
        <v>1613</v>
      </c>
      <c r="D592" s="1" t="str">
        <f>"8415"</f>
        <v>8415</v>
      </c>
      <c r="E592" s="1" t="s">
        <v>1606</v>
      </c>
      <c r="F592" s="1" t="s">
        <v>1607</v>
      </c>
      <c r="G592" s="3" t="s">
        <v>15</v>
      </c>
      <c r="H592" s="3" t="str">
        <f>"5"</f>
        <v>5</v>
      </c>
      <c r="I592" s="4" t="str">
        <f>"50"</f>
        <v>50</v>
      </c>
      <c r="J592" s="2">
        <v>45883</v>
      </c>
      <c r="K592" s="1" t="s">
        <v>1608</v>
      </c>
    </row>
    <row r="593" spans="1:11" x14ac:dyDescent="0.35">
      <c r="A593" s="3" t="s">
        <v>1445</v>
      </c>
      <c r="B593" s="1" t="s">
        <v>1459</v>
      </c>
      <c r="C593" s="1" t="s">
        <v>1614</v>
      </c>
      <c r="D593" s="1" t="str">
        <f>"8415"</f>
        <v>8415</v>
      </c>
      <c r="E593" s="1" t="s">
        <v>1606</v>
      </c>
      <c r="F593" s="1" t="s">
        <v>1607</v>
      </c>
      <c r="G593" s="3" t="s">
        <v>15</v>
      </c>
      <c r="H593" s="3" t="str">
        <f>"5"</f>
        <v>5</v>
      </c>
      <c r="I593" s="4" t="str">
        <f>"50"</f>
        <v>50</v>
      </c>
      <c r="J593" s="2">
        <v>45883</v>
      </c>
      <c r="K593" s="1" t="s">
        <v>1608</v>
      </c>
    </row>
    <row r="594" spans="1:11" x14ac:dyDescent="0.35">
      <c r="A594" s="3" t="s">
        <v>1445</v>
      </c>
      <c r="B594" s="1" t="s">
        <v>1459</v>
      </c>
      <c r="C594" s="1" t="s">
        <v>1615</v>
      </c>
      <c r="D594" s="1" t="str">
        <f>"8415"</f>
        <v>8415</v>
      </c>
      <c r="E594" s="1" t="s">
        <v>1606</v>
      </c>
      <c r="F594" s="1" t="s">
        <v>1607</v>
      </c>
      <c r="G594" s="3" t="s">
        <v>15</v>
      </c>
      <c r="H594" s="3" t="str">
        <f>"5"</f>
        <v>5</v>
      </c>
      <c r="I594" s="4" t="str">
        <f>"50"</f>
        <v>50</v>
      </c>
      <c r="J594" s="2">
        <v>45883</v>
      </c>
      <c r="K594" s="1" t="s">
        <v>1608</v>
      </c>
    </row>
    <row r="595" spans="1:11" x14ac:dyDescent="0.35">
      <c r="A595" s="3" t="s">
        <v>1445</v>
      </c>
      <c r="B595" s="1" t="s">
        <v>1459</v>
      </c>
      <c r="C595" s="1" t="s">
        <v>1616</v>
      </c>
      <c r="D595" s="1" t="str">
        <f>"8415"</f>
        <v>8415</v>
      </c>
      <c r="E595" s="1" t="s">
        <v>1606</v>
      </c>
      <c r="F595" s="1" t="s">
        <v>1607</v>
      </c>
      <c r="G595" s="3" t="s">
        <v>15</v>
      </c>
      <c r="H595" s="3" t="str">
        <f>"5"</f>
        <v>5</v>
      </c>
      <c r="I595" s="4" t="str">
        <f>"50"</f>
        <v>50</v>
      </c>
      <c r="J595" s="2">
        <v>45883</v>
      </c>
      <c r="K595" s="1" t="s">
        <v>1608</v>
      </c>
    </row>
    <row r="596" spans="1:11" x14ac:dyDescent="0.35">
      <c r="A596" s="3" t="s">
        <v>1445</v>
      </c>
      <c r="B596" s="1" t="s">
        <v>1459</v>
      </c>
      <c r="C596" s="1" t="s">
        <v>1624</v>
      </c>
      <c r="D596" s="1" t="str">
        <f>"8465"</f>
        <v>8465</v>
      </c>
      <c r="E596" s="1" t="str">
        <f>"012267986"</f>
        <v>012267986</v>
      </c>
      <c r="F596" s="1" t="s">
        <v>1625</v>
      </c>
      <c r="G596" s="3" t="s">
        <v>847</v>
      </c>
      <c r="H596" s="3" t="str">
        <f>"3"</f>
        <v>3</v>
      </c>
      <c r="I596" s="4">
        <v>267.52</v>
      </c>
      <c r="J596" s="2">
        <v>45883</v>
      </c>
      <c r="K596" s="1" t="s">
        <v>1509</v>
      </c>
    </row>
    <row r="597" spans="1:11" x14ac:dyDescent="0.35">
      <c r="A597" s="3" t="s">
        <v>1445</v>
      </c>
      <c r="B597" s="1" t="s">
        <v>1626</v>
      </c>
      <c r="C597" s="1" t="s">
        <v>1627</v>
      </c>
      <c r="D597" s="1" t="str">
        <f>"3930"</f>
        <v>3930</v>
      </c>
      <c r="E597" s="1" t="s">
        <v>150</v>
      </c>
      <c r="F597" s="1" t="s">
        <v>151</v>
      </c>
      <c r="G597" s="3" t="s">
        <v>15</v>
      </c>
      <c r="H597" s="3" t="str">
        <f>"1"</f>
        <v>1</v>
      </c>
      <c r="I597" s="4" t="str">
        <f>"24164"</f>
        <v>24164</v>
      </c>
      <c r="J597" s="2">
        <v>45883</v>
      </c>
      <c r="K597" s="1" t="s">
        <v>1628</v>
      </c>
    </row>
    <row r="598" spans="1:11" x14ac:dyDescent="0.35">
      <c r="A598" s="3" t="s">
        <v>1445</v>
      </c>
      <c r="B598" s="1" t="s">
        <v>1629</v>
      </c>
      <c r="C598" s="1" t="s">
        <v>1644</v>
      </c>
      <c r="D598" s="1" t="str">
        <f>"4910"</f>
        <v>4910</v>
      </c>
      <c r="E598" s="1" t="s">
        <v>1645</v>
      </c>
      <c r="F598" s="1" t="s">
        <v>1646</v>
      </c>
      <c r="G598" s="3" t="s">
        <v>15</v>
      </c>
      <c r="H598" s="3" t="str">
        <f>"1"</f>
        <v>1</v>
      </c>
      <c r="I598" s="4" t="str">
        <f>"2601"</f>
        <v>2601</v>
      </c>
      <c r="J598" s="2">
        <v>45883</v>
      </c>
      <c r="K598" s="1" t="s">
        <v>1647</v>
      </c>
    </row>
    <row r="599" spans="1:11" x14ac:dyDescent="0.35">
      <c r="A599" s="3" t="s">
        <v>1445</v>
      </c>
      <c r="B599" s="1" t="s">
        <v>1459</v>
      </c>
      <c r="C599" s="1" t="s">
        <v>1460</v>
      </c>
      <c r="D599" s="1" t="str">
        <f>"1240"</f>
        <v>1240</v>
      </c>
      <c r="E599" s="1" t="s">
        <v>1461</v>
      </c>
      <c r="F599" s="1" t="s">
        <v>1462</v>
      </c>
      <c r="G599" s="3" t="s">
        <v>15</v>
      </c>
      <c r="H599" s="3" t="str">
        <f>"6"</f>
        <v>6</v>
      </c>
      <c r="I599" s="4" t="str">
        <f>"12000"</f>
        <v>12000</v>
      </c>
      <c r="J599" s="2">
        <v>45881</v>
      </c>
      <c r="K599" s="1" t="s">
        <v>1463</v>
      </c>
    </row>
    <row r="600" spans="1:11" x14ac:dyDescent="0.35">
      <c r="A600" s="3" t="s">
        <v>1445</v>
      </c>
      <c r="B600" s="1" t="s">
        <v>1459</v>
      </c>
      <c r="C600" s="1" t="s">
        <v>1594</v>
      </c>
      <c r="D600" s="1" t="str">
        <f>"7240"</f>
        <v>7240</v>
      </c>
      <c r="E600" s="1" t="str">
        <f>"013375268"</f>
        <v>013375268</v>
      </c>
      <c r="F600" s="1" t="s">
        <v>1592</v>
      </c>
      <c r="G600" s="3" t="s">
        <v>15</v>
      </c>
      <c r="H600" s="3" t="str">
        <f>"1"</f>
        <v>1</v>
      </c>
      <c r="I600" s="4">
        <v>45.35</v>
      </c>
      <c r="J600" s="2">
        <v>45881</v>
      </c>
      <c r="K600" s="1" t="s">
        <v>1595</v>
      </c>
    </row>
    <row r="601" spans="1:11" x14ac:dyDescent="0.35">
      <c r="A601" s="3" t="s">
        <v>1445</v>
      </c>
      <c r="B601" s="1" t="s">
        <v>1459</v>
      </c>
      <c r="C601" s="1" t="s">
        <v>1495</v>
      </c>
      <c r="D601" s="1" t="str">
        <f>"5855"</f>
        <v>5855</v>
      </c>
      <c r="E601" s="1" t="str">
        <f>"013984315"</f>
        <v>013984315</v>
      </c>
      <c r="F601" s="1" t="s">
        <v>1496</v>
      </c>
      <c r="G601" s="3" t="s">
        <v>15</v>
      </c>
      <c r="H601" s="3" t="str">
        <f>"1"</f>
        <v>1</v>
      </c>
      <c r="I601" s="4" t="str">
        <f>"503"</f>
        <v>503</v>
      </c>
      <c r="J601" s="2">
        <v>45880</v>
      </c>
      <c r="K601" s="1" t="s">
        <v>1497</v>
      </c>
    </row>
    <row r="602" spans="1:11" x14ac:dyDescent="0.35">
      <c r="A602" s="3" t="s">
        <v>1445</v>
      </c>
      <c r="B602" s="1" t="s">
        <v>1459</v>
      </c>
      <c r="C602" s="1" t="s">
        <v>1581</v>
      </c>
      <c r="D602" s="1" t="str">
        <f>"6760"</f>
        <v>6760</v>
      </c>
      <c r="E602" s="1" t="s">
        <v>1570</v>
      </c>
      <c r="F602" s="1" t="s">
        <v>1571</v>
      </c>
      <c r="G602" s="3" t="s">
        <v>15</v>
      </c>
      <c r="H602" s="3" t="str">
        <f>"1"</f>
        <v>1</v>
      </c>
      <c r="I602" s="4" t="str">
        <f>"50"</f>
        <v>50</v>
      </c>
      <c r="J602" s="2">
        <v>45880</v>
      </c>
      <c r="K602" s="1" t="s">
        <v>1557</v>
      </c>
    </row>
    <row r="603" spans="1:11" x14ac:dyDescent="0.35">
      <c r="A603" s="3" t="s">
        <v>1445</v>
      </c>
      <c r="B603" s="1" t="s">
        <v>1459</v>
      </c>
      <c r="C603" s="1" t="s">
        <v>1601</v>
      </c>
      <c r="D603" s="1" t="str">
        <f>"8145"</f>
        <v>8145</v>
      </c>
      <c r="E603" s="1" t="s">
        <v>1602</v>
      </c>
      <c r="F603" s="1" t="s">
        <v>1603</v>
      </c>
      <c r="G603" s="3" t="s">
        <v>15</v>
      </c>
      <c r="H603" s="3" t="str">
        <f>"1"</f>
        <v>1</v>
      </c>
      <c r="I603" s="4" t="str">
        <f>"450"</f>
        <v>450</v>
      </c>
      <c r="J603" s="2">
        <v>45880</v>
      </c>
      <c r="K603" s="1" t="s">
        <v>1604</v>
      </c>
    </row>
    <row r="604" spans="1:11" x14ac:dyDescent="0.35">
      <c r="A604" s="3" t="s">
        <v>1445</v>
      </c>
      <c r="B604" s="1" t="s">
        <v>1459</v>
      </c>
      <c r="C604" s="1" t="s">
        <v>1620</v>
      </c>
      <c r="D604" s="1" t="str">
        <f>"8465"</f>
        <v>8465</v>
      </c>
      <c r="E604" s="1" t="s">
        <v>1621</v>
      </c>
      <c r="F604" s="1" t="s">
        <v>1622</v>
      </c>
      <c r="G604" s="3" t="s">
        <v>15</v>
      </c>
      <c r="H604" s="3" t="str">
        <f>"6"</f>
        <v>6</v>
      </c>
      <c r="I604" s="4" t="str">
        <f>"200"</f>
        <v>200</v>
      </c>
      <c r="J604" s="2">
        <v>45880</v>
      </c>
      <c r="K604" s="1" t="s">
        <v>1623</v>
      </c>
    </row>
    <row r="605" spans="1:11" x14ac:dyDescent="0.35">
      <c r="A605" s="3" t="s">
        <v>1445</v>
      </c>
      <c r="B605" s="1" t="s">
        <v>1459</v>
      </c>
      <c r="C605" s="1" t="s">
        <v>1529</v>
      </c>
      <c r="D605" s="1" t="str">
        <f>"6515"</f>
        <v>6515</v>
      </c>
      <c r="E605" s="1" t="str">
        <f>"015217505"</f>
        <v>015217505</v>
      </c>
      <c r="F605" s="1" t="s">
        <v>1530</v>
      </c>
      <c r="G605" s="3" t="s">
        <v>1084</v>
      </c>
      <c r="H605" s="3" t="str">
        <f>"1"</f>
        <v>1</v>
      </c>
      <c r="I605" s="4">
        <v>32.6</v>
      </c>
      <c r="J605" s="2">
        <v>45878</v>
      </c>
      <c r="K605" s="1" t="s">
        <v>1531</v>
      </c>
    </row>
    <row r="606" spans="1:11" x14ac:dyDescent="0.35">
      <c r="A606" s="3" t="s">
        <v>1445</v>
      </c>
      <c r="B606" s="1" t="s">
        <v>1459</v>
      </c>
      <c r="C606" s="1" t="s">
        <v>1532</v>
      </c>
      <c r="D606" s="1" t="str">
        <f>"6515"</f>
        <v>6515</v>
      </c>
      <c r="E606" s="1" t="str">
        <f>"015217505"</f>
        <v>015217505</v>
      </c>
      <c r="F606" s="1" t="s">
        <v>1530</v>
      </c>
      <c r="G606" s="3" t="s">
        <v>1084</v>
      </c>
      <c r="H606" s="3" t="str">
        <f>"1"</f>
        <v>1</v>
      </c>
      <c r="I606" s="4">
        <v>32.6</v>
      </c>
      <c r="J606" s="2">
        <v>45878</v>
      </c>
      <c r="K606" s="1" t="s">
        <v>1533</v>
      </c>
    </row>
    <row r="607" spans="1:11" x14ac:dyDescent="0.35">
      <c r="A607" s="3" t="s">
        <v>1445</v>
      </c>
      <c r="B607" s="1" t="s">
        <v>1459</v>
      </c>
      <c r="C607" s="1" t="s">
        <v>1534</v>
      </c>
      <c r="D607" s="1" t="str">
        <f>"6515"</f>
        <v>6515</v>
      </c>
      <c r="E607" s="1" t="str">
        <f>"015217505"</f>
        <v>015217505</v>
      </c>
      <c r="F607" s="1" t="s">
        <v>1530</v>
      </c>
      <c r="G607" s="3" t="s">
        <v>1084</v>
      </c>
      <c r="H607" s="3" t="str">
        <f>"2"</f>
        <v>2</v>
      </c>
      <c r="I607" s="4">
        <v>32.6</v>
      </c>
      <c r="J607" s="2">
        <v>45878</v>
      </c>
      <c r="K607" s="1" t="s">
        <v>1533</v>
      </c>
    </row>
    <row r="608" spans="1:11" x14ac:dyDescent="0.35">
      <c r="A608" s="3" t="s">
        <v>1445</v>
      </c>
      <c r="B608" s="1" t="s">
        <v>1459</v>
      </c>
      <c r="C608" s="1" t="s">
        <v>1535</v>
      </c>
      <c r="D608" s="1" t="str">
        <f>"6515"</f>
        <v>6515</v>
      </c>
      <c r="E608" s="1" t="str">
        <f>"015217505"</f>
        <v>015217505</v>
      </c>
      <c r="F608" s="1" t="s">
        <v>1530</v>
      </c>
      <c r="G608" s="3" t="s">
        <v>1084</v>
      </c>
      <c r="H608" s="3" t="str">
        <f>"1"</f>
        <v>1</v>
      </c>
      <c r="I608" s="4">
        <v>32.6</v>
      </c>
      <c r="J608" s="2">
        <v>45878</v>
      </c>
      <c r="K608" s="1" t="s">
        <v>1531</v>
      </c>
    </row>
    <row r="609" spans="1:11" x14ac:dyDescent="0.35">
      <c r="A609" s="3" t="s">
        <v>1445</v>
      </c>
      <c r="B609" s="1" t="s">
        <v>1459</v>
      </c>
      <c r="C609" s="1" t="s">
        <v>1536</v>
      </c>
      <c r="D609" s="1" t="str">
        <f>"6515"</f>
        <v>6515</v>
      </c>
      <c r="E609" s="1" t="str">
        <f>"015217505"</f>
        <v>015217505</v>
      </c>
      <c r="F609" s="1" t="s">
        <v>1530</v>
      </c>
      <c r="G609" s="3" t="s">
        <v>1084</v>
      </c>
      <c r="H609" s="3" t="str">
        <f>"1"</f>
        <v>1</v>
      </c>
      <c r="I609" s="4">
        <v>32.6</v>
      </c>
      <c r="J609" s="2">
        <v>45878</v>
      </c>
      <c r="K609" s="1" t="s">
        <v>1531</v>
      </c>
    </row>
    <row r="610" spans="1:11" x14ac:dyDescent="0.35">
      <c r="A610" s="3" t="s">
        <v>1445</v>
      </c>
      <c r="B610" s="1" t="s">
        <v>1459</v>
      </c>
      <c r="C610" s="1" t="s">
        <v>1537</v>
      </c>
      <c r="D610" s="1" t="str">
        <f>"6515"</f>
        <v>6515</v>
      </c>
      <c r="E610" s="1" t="str">
        <f>"015217505"</f>
        <v>015217505</v>
      </c>
      <c r="F610" s="1" t="s">
        <v>1530</v>
      </c>
      <c r="G610" s="3" t="s">
        <v>1084</v>
      </c>
      <c r="H610" s="3" t="str">
        <f>"2"</f>
        <v>2</v>
      </c>
      <c r="I610" s="4">
        <v>32.6</v>
      </c>
      <c r="J610" s="2">
        <v>45878</v>
      </c>
      <c r="K610" s="1" t="s">
        <v>1531</v>
      </c>
    </row>
    <row r="611" spans="1:11" x14ac:dyDescent="0.35">
      <c r="A611" s="3" t="s">
        <v>1445</v>
      </c>
      <c r="B611" s="1" t="s">
        <v>1459</v>
      </c>
      <c r="C611" s="1" t="s">
        <v>1524</v>
      </c>
      <c r="D611" s="1" t="str">
        <f>"6230"</f>
        <v>6230</v>
      </c>
      <c r="E611" s="1" t="s">
        <v>178</v>
      </c>
      <c r="F611" s="1" t="s">
        <v>179</v>
      </c>
      <c r="G611" s="3" t="s">
        <v>15</v>
      </c>
      <c r="H611" s="3" t="str">
        <f>"14"</f>
        <v>14</v>
      </c>
      <c r="I611" s="4" t="str">
        <f>"1040"</f>
        <v>1040</v>
      </c>
      <c r="J611" s="2">
        <v>45877</v>
      </c>
      <c r="K611" s="1" t="s">
        <v>1525</v>
      </c>
    </row>
    <row r="612" spans="1:11" x14ac:dyDescent="0.35">
      <c r="A612" s="3" t="s">
        <v>1445</v>
      </c>
      <c r="B612" s="1" t="s">
        <v>1459</v>
      </c>
      <c r="C612" s="1" t="s">
        <v>1492</v>
      </c>
      <c r="D612" s="1" t="str">
        <f>"5855"</f>
        <v>5855</v>
      </c>
      <c r="E612" s="1" t="str">
        <f>"016809196"</f>
        <v>016809196</v>
      </c>
      <c r="F612" s="1" t="s">
        <v>1493</v>
      </c>
      <c r="G612" s="3" t="s">
        <v>15</v>
      </c>
      <c r="H612" s="3" t="str">
        <f>"3"</f>
        <v>3</v>
      </c>
      <c r="I612" s="4">
        <v>191821.3</v>
      </c>
      <c r="J612" s="2">
        <v>45876</v>
      </c>
      <c r="K612" s="1" t="s">
        <v>1494</v>
      </c>
    </row>
    <row r="613" spans="1:11" x14ac:dyDescent="0.35">
      <c r="A613" s="3" t="s">
        <v>1445</v>
      </c>
      <c r="B613" s="1" t="s">
        <v>1459</v>
      </c>
      <c r="C613" s="1" t="s">
        <v>1480</v>
      </c>
      <c r="D613" s="1" t="str">
        <f>"5820"</f>
        <v>5820</v>
      </c>
      <c r="E613" s="1" t="str">
        <f>"016683960"</f>
        <v>016683960</v>
      </c>
      <c r="F613" s="1" t="s">
        <v>1481</v>
      </c>
      <c r="G613" s="3" t="s">
        <v>15</v>
      </c>
      <c r="H613" s="3" t="str">
        <f>"8"</f>
        <v>8</v>
      </c>
      <c r="I613" s="4">
        <v>1252.83</v>
      </c>
      <c r="J613" s="2">
        <v>45875</v>
      </c>
      <c r="K613" s="1" t="s">
        <v>1482</v>
      </c>
    </row>
    <row r="614" spans="1:11" x14ac:dyDescent="0.35">
      <c r="A614" s="3" t="s">
        <v>1445</v>
      </c>
      <c r="B614" s="1" t="s">
        <v>1629</v>
      </c>
      <c r="C614" s="1" t="s">
        <v>1660</v>
      </c>
      <c r="D614" s="1" t="str">
        <f>"8145"</f>
        <v>8145</v>
      </c>
      <c r="E614" s="1" t="str">
        <f>"016061154"</f>
        <v>016061154</v>
      </c>
      <c r="F614" s="1" t="s">
        <v>1661</v>
      </c>
      <c r="G614" s="3" t="s">
        <v>15</v>
      </c>
      <c r="H614" s="3" t="str">
        <f>"15"</f>
        <v>15</v>
      </c>
      <c r="I614" s="4">
        <v>1123.24</v>
      </c>
      <c r="J614" s="2">
        <v>45875</v>
      </c>
      <c r="K614" s="1" t="s">
        <v>1662</v>
      </c>
    </row>
    <row r="615" spans="1:11" x14ac:dyDescent="0.35">
      <c r="A615" s="3" t="s">
        <v>1445</v>
      </c>
      <c r="B615" s="1" t="s">
        <v>1629</v>
      </c>
      <c r="C615" s="1" t="s">
        <v>1673</v>
      </c>
      <c r="D615" s="1" t="str">
        <f>"8465"</f>
        <v>8465</v>
      </c>
      <c r="E615" s="1" t="str">
        <f>"016036613"</f>
        <v>016036613</v>
      </c>
      <c r="F615" s="1" t="s">
        <v>804</v>
      </c>
      <c r="G615" s="3" t="s">
        <v>15</v>
      </c>
      <c r="H615" s="3" t="str">
        <f>"17"</f>
        <v>17</v>
      </c>
      <c r="I615" s="4">
        <v>411.37</v>
      </c>
      <c r="J615" s="2">
        <v>45875</v>
      </c>
      <c r="K615" s="1" t="s">
        <v>1674</v>
      </c>
    </row>
    <row r="616" spans="1:11" x14ac:dyDescent="0.35">
      <c r="A616" s="3" t="s">
        <v>1445</v>
      </c>
      <c r="B616" s="1" t="s">
        <v>1629</v>
      </c>
      <c r="C616" s="1" t="s">
        <v>1675</v>
      </c>
      <c r="D616" s="1" t="str">
        <f>"8465"</f>
        <v>8465</v>
      </c>
      <c r="E616" s="1" t="str">
        <f>"016036613"</f>
        <v>016036613</v>
      </c>
      <c r="F616" s="1" t="s">
        <v>804</v>
      </c>
      <c r="G616" s="3" t="s">
        <v>15</v>
      </c>
      <c r="H616" s="3" t="str">
        <f>"16"</f>
        <v>16</v>
      </c>
      <c r="I616" s="4">
        <v>411.37</v>
      </c>
      <c r="J616" s="2">
        <v>45875</v>
      </c>
      <c r="K616" s="1" t="s">
        <v>1676</v>
      </c>
    </row>
    <row r="617" spans="1:11" x14ac:dyDescent="0.35">
      <c r="A617" s="3" t="s">
        <v>1445</v>
      </c>
      <c r="B617" s="1" t="s">
        <v>1629</v>
      </c>
      <c r="C617" s="1" t="s">
        <v>1677</v>
      </c>
      <c r="D617" s="1" t="str">
        <f>"8465"</f>
        <v>8465</v>
      </c>
      <c r="E617" s="1" t="str">
        <f>"016036613"</f>
        <v>016036613</v>
      </c>
      <c r="F617" s="1" t="s">
        <v>804</v>
      </c>
      <c r="G617" s="3" t="s">
        <v>15</v>
      </c>
      <c r="H617" s="3" t="str">
        <f>"15"</f>
        <v>15</v>
      </c>
      <c r="I617" s="4">
        <v>411.37</v>
      </c>
      <c r="J617" s="2">
        <v>45875</v>
      </c>
      <c r="K617" s="1" t="s">
        <v>1665</v>
      </c>
    </row>
    <row r="618" spans="1:11" x14ac:dyDescent="0.35">
      <c r="A618" s="3" t="s">
        <v>1445</v>
      </c>
      <c r="B618" s="1" t="s">
        <v>1629</v>
      </c>
      <c r="C618" s="1" t="s">
        <v>1678</v>
      </c>
      <c r="D618" s="1" t="str">
        <f>"8465"</f>
        <v>8465</v>
      </c>
      <c r="E618" s="1" t="str">
        <f>"016036613"</f>
        <v>016036613</v>
      </c>
      <c r="F618" s="1" t="s">
        <v>804</v>
      </c>
      <c r="G618" s="3" t="s">
        <v>15</v>
      </c>
      <c r="H618" s="3" t="str">
        <f>"20"</f>
        <v>20</v>
      </c>
      <c r="I618" s="4">
        <v>411.37</v>
      </c>
      <c r="J618" s="2">
        <v>45875</v>
      </c>
      <c r="K618" s="1" t="s">
        <v>1665</v>
      </c>
    </row>
    <row r="619" spans="1:11" x14ac:dyDescent="0.35">
      <c r="A619" s="3" t="s">
        <v>1445</v>
      </c>
      <c r="B619" s="1" t="s">
        <v>1459</v>
      </c>
      <c r="C619" s="1" t="s">
        <v>1552</v>
      </c>
      <c r="D619" s="1" t="str">
        <f>"6720"</f>
        <v>6720</v>
      </c>
      <c r="E619" s="1" t="s">
        <v>443</v>
      </c>
      <c r="F619" s="1" t="s">
        <v>444</v>
      </c>
      <c r="G619" s="3" t="s">
        <v>15</v>
      </c>
      <c r="H619" s="3" t="str">
        <f>"1"</f>
        <v>1</v>
      </c>
      <c r="I619" s="4">
        <v>260.99</v>
      </c>
      <c r="J619" s="2">
        <v>45868</v>
      </c>
      <c r="K619" s="1" t="s">
        <v>1553</v>
      </c>
    </row>
    <row r="620" spans="1:11" x14ac:dyDescent="0.35">
      <c r="A620" s="3" t="s">
        <v>1445</v>
      </c>
      <c r="B620" s="1" t="s">
        <v>1459</v>
      </c>
      <c r="C620" s="1" t="s">
        <v>1579</v>
      </c>
      <c r="D620" s="1" t="str">
        <f>"6760"</f>
        <v>6760</v>
      </c>
      <c r="E620" s="1" t="s">
        <v>1570</v>
      </c>
      <c r="F620" s="1" t="s">
        <v>1571</v>
      </c>
      <c r="G620" s="3" t="s">
        <v>15</v>
      </c>
      <c r="H620" s="3" t="str">
        <f>"4"</f>
        <v>4</v>
      </c>
      <c r="I620" s="4" t="str">
        <f>"100"</f>
        <v>100</v>
      </c>
      <c r="J620" s="2">
        <v>45868</v>
      </c>
      <c r="K620" s="1" t="s">
        <v>1553</v>
      </c>
    </row>
    <row r="621" spans="1:11" x14ac:dyDescent="0.35">
      <c r="A621" s="3" t="s">
        <v>1445</v>
      </c>
      <c r="B621" s="1" t="s">
        <v>1679</v>
      </c>
      <c r="C621" s="1" t="s">
        <v>1680</v>
      </c>
      <c r="D621" s="1" t="str">
        <f>"5411"</f>
        <v>5411</v>
      </c>
      <c r="E621" s="1" t="str">
        <f>"013046121"</f>
        <v>013046121</v>
      </c>
      <c r="F621" s="1" t="s">
        <v>1453</v>
      </c>
      <c r="G621" s="3" t="s">
        <v>15</v>
      </c>
      <c r="H621" s="3" t="str">
        <f>"2"</f>
        <v>2</v>
      </c>
      <c r="I621" s="4" t="str">
        <f>"81330"</f>
        <v>81330</v>
      </c>
      <c r="J621" s="2">
        <v>45866</v>
      </c>
      <c r="K621" s="1" t="s">
        <v>1681</v>
      </c>
    </row>
    <row r="622" spans="1:11" x14ac:dyDescent="0.35">
      <c r="A622" s="3" t="s">
        <v>1445</v>
      </c>
      <c r="B622" s="1" t="s">
        <v>1459</v>
      </c>
      <c r="C622" s="1" t="s">
        <v>1488</v>
      </c>
      <c r="D622" s="1" t="str">
        <f>"5855"</f>
        <v>5855</v>
      </c>
      <c r="E622" s="1" t="str">
        <f>"015251631"</f>
        <v>015251631</v>
      </c>
      <c r="F622" s="1" t="s">
        <v>1489</v>
      </c>
      <c r="G622" s="3" t="s">
        <v>15</v>
      </c>
      <c r="H622" s="3" t="str">
        <f>"1"</f>
        <v>1</v>
      </c>
      <c r="I622" s="4" t="str">
        <f>"8420"</f>
        <v>8420</v>
      </c>
      <c r="J622" s="2">
        <v>45863</v>
      </c>
      <c r="K622" s="1" t="s">
        <v>1490</v>
      </c>
    </row>
    <row r="623" spans="1:11" x14ac:dyDescent="0.35">
      <c r="A623" s="3" t="s">
        <v>1445</v>
      </c>
      <c r="B623" s="1" t="s">
        <v>1459</v>
      </c>
      <c r="C623" s="1" t="s">
        <v>1491</v>
      </c>
      <c r="D623" s="1" t="str">
        <f>"5855"</f>
        <v>5855</v>
      </c>
      <c r="E623" s="1" t="str">
        <f>"015251631"</f>
        <v>015251631</v>
      </c>
      <c r="F623" s="1" t="s">
        <v>1489</v>
      </c>
      <c r="G623" s="3" t="s">
        <v>15</v>
      </c>
      <c r="H623" s="3" t="str">
        <f>"1"</f>
        <v>1</v>
      </c>
      <c r="I623" s="4" t="str">
        <f>"8420"</f>
        <v>8420</v>
      </c>
      <c r="J623" s="2">
        <v>45863</v>
      </c>
      <c r="K623" s="1" t="s">
        <v>1490</v>
      </c>
    </row>
    <row r="624" spans="1:11" x14ac:dyDescent="0.35">
      <c r="A624" s="3" t="s">
        <v>1445</v>
      </c>
      <c r="B624" s="1" t="s">
        <v>1459</v>
      </c>
      <c r="C624" s="1" t="s">
        <v>1575</v>
      </c>
      <c r="D624" s="1" t="str">
        <f>"6760"</f>
        <v>6760</v>
      </c>
      <c r="E624" s="1" t="str">
        <f>"015473803"</f>
        <v>015473803</v>
      </c>
      <c r="F624" s="1" t="s">
        <v>1576</v>
      </c>
      <c r="G624" s="3" t="s">
        <v>15</v>
      </c>
      <c r="H624" s="3" t="str">
        <f>"19"</f>
        <v>19</v>
      </c>
      <c r="I624" s="4">
        <v>252.18</v>
      </c>
      <c r="J624" s="2">
        <v>45859</v>
      </c>
      <c r="K624" s="1" t="s">
        <v>1547</v>
      </c>
    </row>
    <row r="625" spans="1:11" x14ac:dyDescent="0.35">
      <c r="A625" s="3" t="s">
        <v>1445</v>
      </c>
      <c r="B625" s="1" t="s">
        <v>1459</v>
      </c>
      <c r="C625" s="1" t="s">
        <v>1582</v>
      </c>
      <c r="D625" s="1" t="str">
        <f>"6780"</f>
        <v>6780</v>
      </c>
      <c r="E625" s="1" t="str">
        <f>"010897759"</f>
        <v>010897759</v>
      </c>
      <c r="F625" s="1" t="s">
        <v>1583</v>
      </c>
      <c r="G625" s="3" t="s">
        <v>19</v>
      </c>
      <c r="H625" s="3" t="str">
        <f>"34"</f>
        <v>34</v>
      </c>
      <c r="I625" s="4">
        <v>954.03</v>
      </c>
      <c r="J625" s="2">
        <v>45859</v>
      </c>
      <c r="K625" s="1" t="s">
        <v>1584</v>
      </c>
    </row>
    <row r="626" spans="1:11" x14ac:dyDescent="0.35">
      <c r="A626" s="3" t="s">
        <v>1445</v>
      </c>
      <c r="B626" s="1" t="s">
        <v>1459</v>
      </c>
      <c r="C626" s="1" t="s">
        <v>1502</v>
      </c>
      <c r="D626" s="1" t="str">
        <f>"5855"</f>
        <v>5855</v>
      </c>
      <c r="E626" s="1" t="s">
        <v>1503</v>
      </c>
      <c r="F626" s="1" t="s">
        <v>1504</v>
      </c>
      <c r="G626" s="3" t="s">
        <v>15</v>
      </c>
      <c r="H626" s="3" t="str">
        <f>"12"</f>
        <v>12</v>
      </c>
      <c r="I626" s="4" t="str">
        <f>"4400"</f>
        <v>4400</v>
      </c>
      <c r="J626" s="2">
        <v>45856</v>
      </c>
      <c r="K626" s="1" t="s">
        <v>1505</v>
      </c>
    </row>
    <row r="627" spans="1:11" x14ac:dyDescent="0.35">
      <c r="A627" s="3" t="s">
        <v>1445</v>
      </c>
      <c r="B627" s="1" t="s">
        <v>1459</v>
      </c>
      <c r="C627" s="1" t="s">
        <v>1510</v>
      </c>
      <c r="D627" s="1" t="str">
        <f>"5855"</f>
        <v>5855</v>
      </c>
      <c r="E627" s="1" t="s">
        <v>285</v>
      </c>
      <c r="F627" s="1" t="s">
        <v>286</v>
      </c>
      <c r="G627" s="3" t="s">
        <v>15</v>
      </c>
      <c r="H627" s="3" t="str">
        <f>"8"</f>
        <v>8</v>
      </c>
      <c r="I627" s="4" t="str">
        <f>"1760"</f>
        <v>1760</v>
      </c>
      <c r="J627" s="2">
        <v>45856</v>
      </c>
      <c r="K627" s="1" t="s">
        <v>1511</v>
      </c>
    </row>
    <row r="628" spans="1:11" x14ac:dyDescent="0.35">
      <c r="A628" s="3" t="s">
        <v>1445</v>
      </c>
      <c r="B628" s="1" t="s">
        <v>1459</v>
      </c>
      <c r="C628" s="1" t="s">
        <v>1558</v>
      </c>
      <c r="D628" s="1" t="str">
        <f>"6720"</f>
        <v>6720</v>
      </c>
      <c r="E628" s="1" t="s">
        <v>443</v>
      </c>
      <c r="F628" s="1" t="s">
        <v>444</v>
      </c>
      <c r="G628" s="3" t="s">
        <v>15</v>
      </c>
      <c r="H628" s="3" t="str">
        <f>"1"</f>
        <v>1</v>
      </c>
      <c r="I628" s="4">
        <v>817.17</v>
      </c>
      <c r="J628" s="2">
        <v>45856</v>
      </c>
      <c r="K628" s="1" t="s">
        <v>1553</v>
      </c>
    </row>
    <row r="629" spans="1:11" x14ac:dyDescent="0.35">
      <c r="A629" s="3" t="s">
        <v>1445</v>
      </c>
      <c r="B629" s="1" t="s">
        <v>1459</v>
      </c>
      <c r="C629" s="1" t="s">
        <v>1580</v>
      </c>
      <c r="D629" s="1" t="str">
        <f>"6760"</f>
        <v>6760</v>
      </c>
      <c r="E629" s="1" t="s">
        <v>680</v>
      </c>
      <c r="F629" s="1" t="s">
        <v>681</v>
      </c>
      <c r="G629" s="3" t="s">
        <v>15</v>
      </c>
      <c r="H629" s="3" t="str">
        <f>"3"</f>
        <v>3</v>
      </c>
      <c r="I629" s="4" t="str">
        <f>"50"</f>
        <v>50</v>
      </c>
      <c r="J629" s="2">
        <v>45856</v>
      </c>
      <c r="K629" s="1" t="s">
        <v>1557</v>
      </c>
    </row>
    <row r="630" spans="1:11" x14ac:dyDescent="0.35">
      <c r="A630" s="3" t="s">
        <v>1445</v>
      </c>
      <c r="B630" s="1" t="s">
        <v>1629</v>
      </c>
      <c r="C630" s="1" t="s">
        <v>1651</v>
      </c>
      <c r="D630" s="1" t="str">
        <f>"7125"</f>
        <v>7125</v>
      </c>
      <c r="E630" s="1" t="s">
        <v>427</v>
      </c>
      <c r="F630" s="1" t="s">
        <v>428</v>
      </c>
      <c r="G630" s="3" t="s">
        <v>15</v>
      </c>
      <c r="H630" s="3" t="str">
        <f>"1"</f>
        <v>1</v>
      </c>
      <c r="I630" s="4" t="str">
        <f>"2474"</f>
        <v>2474</v>
      </c>
      <c r="J630" s="2">
        <v>45855</v>
      </c>
      <c r="K630" s="1" t="s">
        <v>1652</v>
      </c>
    </row>
    <row r="631" spans="1:11" x14ac:dyDescent="0.35">
      <c r="A631" s="3" t="s">
        <v>1445</v>
      </c>
      <c r="B631" s="1" t="s">
        <v>1459</v>
      </c>
      <c r="C631" s="1" t="s">
        <v>1464</v>
      </c>
      <c r="D631" s="1" t="str">
        <f>"1240"</f>
        <v>1240</v>
      </c>
      <c r="E631" s="1" t="str">
        <f>"015376986"</f>
        <v>015376986</v>
      </c>
      <c r="F631" s="1" t="s">
        <v>1465</v>
      </c>
      <c r="G631" s="3" t="s">
        <v>15</v>
      </c>
      <c r="H631" s="3" t="str">
        <f>"1"</f>
        <v>1</v>
      </c>
      <c r="I631" s="4">
        <v>381.32</v>
      </c>
      <c r="J631" s="2">
        <v>45854</v>
      </c>
      <c r="K631" s="1" t="s">
        <v>1466</v>
      </c>
    </row>
    <row r="632" spans="1:11" x14ac:dyDescent="0.35">
      <c r="A632" s="3" t="s">
        <v>1445</v>
      </c>
      <c r="B632" s="1" t="s">
        <v>1459</v>
      </c>
      <c r="C632" s="1" t="s">
        <v>1556</v>
      </c>
      <c r="D632" s="1" t="str">
        <f>"6720"</f>
        <v>6720</v>
      </c>
      <c r="E632" s="1" t="s">
        <v>443</v>
      </c>
      <c r="F632" s="1" t="s">
        <v>444</v>
      </c>
      <c r="G632" s="3" t="s">
        <v>15</v>
      </c>
      <c r="H632" s="3" t="str">
        <f>"1"</f>
        <v>1</v>
      </c>
      <c r="I632" s="4" t="str">
        <f>"749"</f>
        <v>749</v>
      </c>
      <c r="J632" s="2">
        <v>45854</v>
      </c>
      <c r="K632" s="1" t="s">
        <v>1557</v>
      </c>
    </row>
    <row r="633" spans="1:11" x14ac:dyDescent="0.35">
      <c r="A633" s="3" t="s">
        <v>1445</v>
      </c>
      <c r="B633" s="1" t="s">
        <v>1459</v>
      </c>
      <c r="C633" s="1" t="s">
        <v>1617</v>
      </c>
      <c r="D633" s="1" t="str">
        <f>"8465"</f>
        <v>8465</v>
      </c>
      <c r="E633" s="1" t="str">
        <f>"015247635"</f>
        <v>015247635</v>
      </c>
      <c r="F633" s="1" t="s">
        <v>1618</v>
      </c>
      <c r="G633" s="3" t="s">
        <v>15</v>
      </c>
      <c r="H633" s="3" t="str">
        <f>"3"</f>
        <v>3</v>
      </c>
      <c r="I633" s="4">
        <v>125.86</v>
      </c>
      <c r="J633" s="2">
        <v>45854</v>
      </c>
      <c r="K633" s="1" t="s">
        <v>1619</v>
      </c>
    </row>
    <row r="634" spans="1:11" x14ac:dyDescent="0.35">
      <c r="A634" s="3" t="s">
        <v>1445</v>
      </c>
      <c r="B634" s="1" t="s">
        <v>1629</v>
      </c>
      <c r="C634" s="1" t="s">
        <v>1634</v>
      </c>
      <c r="D634" s="1" t="str">
        <f>"3930"</f>
        <v>3930</v>
      </c>
      <c r="E634" s="1" t="s">
        <v>150</v>
      </c>
      <c r="F634" s="1" t="s">
        <v>151</v>
      </c>
      <c r="G634" s="3" t="s">
        <v>15</v>
      </c>
      <c r="H634" s="3" t="str">
        <f>"1"</f>
        <v>1</v>
      </c>
      <c r="I634" s="4" t="str">
        <f>"73058"</f>
        <v>73058</v>
      </c>
      <c r="J634" s="2">
        <v>45854</v>
      </c>
      <c r="K634" s="1" t="s">
        <v>1635</v>
      </c>
    </row>
    <row r="635" spans="1:11" x14ac:dyDescent="0.35">
      <c r="A635" s="3" t="s">
        <v>1445</v>
      </c>
      <c r="B635" s="1" t="s">
        <v>1459</v>
      </c>
      <c r="C635" s="1" t="s">
        <v>1474</v>
      </c>
      <c r="D635" s="1" t="str">
        <f>"4933"</f>
        <v>4933</v>
      </c>
      <c r="E635" s="1" t="str">
        <f>"015394510"</f>
        <v>015394510</v>
      </c>
      <c r="F635" s="1" t="s">
        <v>1475</v>
      </c>
      <c r="G635" s="3" t="s">
        <v>15</v>
      </c>
      <c r="H635" s="3" t="str">
        <f>"18"</f>
        <v>18</v>
      </c>
      <c r="I635" s="4" t="str">
        <f>"132"</f>
        <v>132</v>
      </c>
      <c r="J635" s="2">
        <v>45852</v>
      </c>
      <c r="K635" s="1" t="s">
        <v>1476</v>
      </c>
    </row>
    <row r="636" spans="1:11" x14ac:dyDescent="0.35">
      <c r="A636" s="3" t="s">
        <v>1445</v>
      </c>
      <c r="B636" s="1" t="s">
        <v>1459</v>
      </c>
      <c r="C636" s="1" t="s">
        <v>1485</v>
      </c>
      <c r="D636" s="1" t="str">
        <f>"5855"</f>
        <v>5855</v>
      </c>
      <c r="E636" s="1" t="str">
        <f>"015279966"</f>
        <v>015279966</v>
      </c>
      <c r="F636" s="1" t="s">
        <v>1486</v>
      </c>
      <c r="G636" s="3" t="s">
        <v>15</v>
      </c>
      <c r="H636" s="3" t="str">
        <f>"1"</f>
        <v>1</v>
      </c>
      <c r="I636" s="4">
        <v>3640.06</v>
      </c>
      <c r="J636" s="2">
        <v>45852</v>
      </c>
      <c r="K636" s="1" t="s">
        <v>1487</v>
      </c>
    </row>
    <row r="637" spans="1:11" x14ac:dyDescent="0.35">
      <c r="A637" s="3" t="s">
        <v>1445</v>
      </c>
      <c r="B637" s="1" t="s">
        <v>1459</v>
      </c>
      <c r="C637" s="1" t="s">
        <v>1501</v>
      </c>
      <c r="D637" s="1" t="str">
        <f>"5855"</f>
        <v>5855</v>
      </c>
      <c r="E637" s="1" t="str">
        <f>"014384588"</f>
        <v>014384588</v>
      </c>
      <c r="F637" s="1" t="s">
        <v>1499</v>
      </c>
      <c r="G637" s="3" t="s">
        <v>15</v>
      </c>
      <c r="H637" s="3" t="str">
        <f>"17"</f>
        <v>17</v>
      </c>
      <c r="I637" s="4">
        <v>33.119999999999997</v>
      </c>
      <c r="J637" s="2">
        <v>45852</v>
      </c>
      <c r="K637" s="1" t="s">
        <v>1497</v>
      </c>
    </row>
    <row r="638" spans="1:11" x14ac:dyDescent="0.35">
      <c r="A638" s="3" t="s">
        <v>1445</v>
      </c>
      <c r="B638" s="1" t="s">
        <v>1459</v>
      </c>
      <c r="C638" s="1" t="s">
        <v>1506</v>
      </c>
      <c r="D638" s="1" t="str">
        <f>"5855"</f>
        <v>5855</v>
      </c>
      <c r="E638" s="1" t="str">
        <f>"015279966"</f>
        <v>015279966</v>
      </c>
      <c r="F638" s="1" t="s">
        <v>1486</v>
      </c>
      <c r="G638" s="3" t="s">
        <v>15</v>
      </c>
      <c r="H638" s="3" t="str">
        <f>"1"</f>
        <v>1</v>
      </c>
      <c r="I638" s="4">
        <v>3640.06</v>
      </c>
      <c r="J638" s="2">
        <v>45852</v>
      </c>
      <c r="K638" s="1" t="s">
        <v>1507</v>
      </c>
    </row>
    <row r="639" spans="1:11" x14ac:dyDescent="0.35">
      <c r="A639" s="3" t="s">
        <v>1445</v>
      </c>
      <c r="B639" s="1" t="s">
        <v>1459</v>
      </c>
      <c r="C639" s="1" t="s">
        <v>1508</v>
      </c>
      <c r="D639" s="1" t="str">
        <f>"5855"</f>
        <v>5855</v>
      </c>
      <c r="E639" s="1" t="str">
        <f>"013984315"</f>
        <v>013984315</v>
      </c>
      <c r="F639" s="1" t="s">
        <v>1496</v>
      </c>
      <c r="G639" s="3" t="s">
        <v>15</v>
      </c>
      <c r="H639" s="3" t="str">
        <f>"2"</f>
        <v>2</v>
      </c>
      <c r="I639" s="4" t="str">
        <f>"503"</f>
        <v>503</v>
      </c>
      <c r="J639" s="2">
        <v>45852</v>
      </c>
      <c r="K639" s="1" t="s">
        <v>1509</v>
      </c>
    </row>
    <row r="640" spans="1:11" x14ac:dyDescent="0.35">
      <c r="A640" s="3" t="s">
        <v>1445</v>
      </c>
      <c r="B640" s="1" t="s">
        <v>1459</v>
      </c>
      <c r="C640" s="1" t="s">
        <v>1512</v>
      </c>
      <c r="D640" s="1" t="str">
        <f>"5855"</f>
        <v>5855</v>
      </c>
      <c r="E640" s="1" t="str">
        <f>"015279966"</f>
        <v>015279966</v>
      </c>
      <c r="F640" s="1" t="s">
        <v>1486</v>
      </c>
      <c r="G640" s="3" t="s">
        <v>15</v>
      </c>
      <c r="H640" s="3" t="str">
        <f>"1"</f>
        <v>1</v>
      </c>
      <c r="I640" s="4">
        <v>3640.06</v>
      </c>
      <c r="J640" s="2">
        <v>45852</v>
      </c>
      <c r="K640" s="1" t="s">
        <v>1513</v>
      </c>
    </row>
    <row r="641" spans="1:11" x14ac:dyDescent="0.35">
      <c r="A641" s="3" t="s">
        <v>1445</v>
      </c>
      <c r="B641" s="1" t="s">
        <v>1459</v>
      </c>
      <c r="C641" s="1" t="s">
        <v>1585</v>
      </c>
      <c r="D641" s="1" t="str">
        <f>"6920"</f>
        <v>6920</v>
      </c>
      <c r="E641" s="1" t="str">
        <f>"013558531"</f>
        <v>013558531</v>
      </c>
      <c r="F641" s="1" t="s">
        <v>1586</v>
      </c>
      <c r="G641" s="3" t="s">
        <v>15</v>
      </c>
      <c r="H641" s="3" t="str">
        <f>"2"</f>
        <v>2</v>
      </c>
      <c r="I641" s="4" t="str">
        <f>"1400"</f>
        <v>1400</v>
      </c>
      <c r="J641" s="2">
        <v>45852</v>
      </c>
      <c r="K641" s="1" t="s">
        <v>1587</v>
      </c>
    </row>
    <row r="642" spans="1:11" x14ac:dyDescent="0.35">
      <c r="A642" s="3" t="s">
        <v>1445</v>
      </c>
      <c r="B642" s="1" t="s">
        <v>1459</v>
      </c>
      <c r="C642" s="1" t="s">
        <v>1498</v>
      </c>
      <c r="D642" s="1" t="str">
        <f>"5855"</f>
        <v>5855</v>
      </c>
      <c r="E642" s="1" t="str">
        <f>"014384588"</f>
        <v>014384588</v>
      </c>
      <c r="F642" s="1" t="s">
        <v>1499</v>
      </c>
      <c r="G642" s="3" t="s">
        <v>15</v>
      </c>
      <c r="H642" s="3" t="str">
        <f>"15"</f>
        <v>15</v>
      </c>
      <c r="I642" s="4">
        <v>33.119999999999997</v>
      </c>
      <c r="J642" s="2">
        <v>45849</v>
      </c>
      <c r="K642" s="1" t="s">
        <v>1500</v>
      </c>
    </row>
    <row r="643" spans="1:11" x14ac:dyDescent="0.35">
      <c r="A643" s="3" t="s">
        <v>1445</v>
      </c>
      <c r="B643" s="1" t="s">
        <v>1459</v>
      </c>
      <c r="C643" s="1" t="s">
        <v>1526</v>
      </c>
      <c r="D643" s="1" t="str">
        <f>"6230"</f>
        <v>6230</v>
      </c>
      <c r="E643" s="1" t="str">
        <f>"016175314"</f>
        <v>016175314</v>
      </c>
      <c r="F643" s="1" t="s">
        <v>1527</v>
      </c>
      <c r="G643" s="3" t="s">
        <v>15</v>
      </c>
      <c r="H643" s="3" t="str">
        <f>"1"</f>
        <v>1</v>
      </c>
      <c r="I643" s="4">
        <v>2890.82</v>
      </c>
      <c r="J643" s="2">
        <v>45849</v>
      </c>
      <c r="K643" s="1" t="s">
        <v>1528</v>
      </c>
    </row>
    <row r="644" spans="1:11" x14ac:dyDescent="0.35">
      <c r="A644" s="3" t="s">
        <v>1445</v>
      </c>
      <c r="B644" s="1" t="s">
        <v>1459</v>
      </c>
      <c r="C644" s="1" t="s">
        <v>1541</v>
      </c>
      <c r="D644" s="1" t="str">
        <f>"6650"</f>
        <v>6650</v>
      </c>
      <c r="E644" s="1" t="str">
        <f>"014121040"</f>
        <v>014121040</v>
      </c>
      <c r="F644" s="1" t="s">
        <v>1542</v>
      </c>
      <c r="G644" s="3" t="s">
        <v>15</v>
      </c>
      <c r="H644" s="3" t="str">
        <f>"1"</f>
        <v>1</v>
      </c>
      <c r="I644" s="4">
        <v>6330.37</v>
      </c>
      <c r="J644" s="2">
        <v>45849</v>
      </c>
      <c r="K644" s="1" t="s">
        <v>1543</v>
      </c>
    </row>
    <row r="645" spans="1:11" x14ac:dyDescent="0.35">
      <c r="A645" s="3" t="s">
        <v>1445</v>
      </c>
      <c r="B645" s="1" t="s">
        <v>1629</v>
      </c>
      <c r="C645" s="1" t="s">
        <v>1636</v>
      </c>
      <c r="D645" s="1" t="str">
        <f>"4140"</f>
        <v>4140</v>
      </c>
      <c r="E645" s="1" t="s">
        <v>590</v>
      </c>
      <c r="F645" s="1" t="s">
        <v>591</v>
      </c>
      <c r="G645" s="3" t="s">
        <v>15</v>
      </c>
      <c r="H645" s="3" t="str">
        <f>"1"</f>
        <v>1</v>
      </c>
      <c r="I645" s="4" t="str">
        <f>"5000"</f>
        <v>5000</v>
      </c>
      <c r="J645" s="2">
        <v>45848</v>
      </c>
      <c r="K645" s="1" t="s">
        <v>1637</v>
      </c>
    </row>
    <row r="646" spans="1:11" x14ac:dyDescent="0.35">
      <c r="A646" s="3" t="s">
        <v>1445</v>
      </c>
      <c r="B646" s="1" t="s">
        <v>1629</v>
      </c>
      <c r="C646" s="1" t="s">
        <v>1638</v>
      </c>
      <c r="D646" s="1" t="str">
        <f>"4140"</f>
        <v>4140</v>
      </c>
      <c r="E646" s="1" t="s">
        <v>590</v>
      </c>
      <c r="F646" s="1" t="s">
        <v>591</v>
      </c>
      <c r="G646" s="3" t="s">
        <v>15</v>
      </c>
      <c r="H646" s="3" t="str">
        <f>"1"</f>
        <v>1</v>
      </c>
      <c r="I646" s="4" t="str">
        <f>"5000"</f>
        <v>5000</v>
      </c>
      <c r="J646" s="2">
        <v>45848</v>
      </c>
      <c r="K646" s="1" t="s">
        <v>1637</v>
      </c>
    </row>
    <row r="647" spans="1:11" x14ac:dyDescent="0.35">
      <c r="A647" s="3" t="s">
        <v>1445</v>
      </c>
      <c r="B647" s="1" t="s">
        <v>1629</v>
      </c>
      <c r="C647" s="1" t="s">
        <v>1653</v>
      </c>
      <c r="D647" s="1" t="str">
        <f>"7125"</f>
        <v>7125</v>
      </c>
      <c r="E647" s="1" t="s">
        <v>545</v>
      </c>
      <c r="F647" s="1" t="s">
        <v>546</v>
      </c>
      <c r="G647" s="3" t="s">
        <v>547</v>
      </c>
      <c r="H647" s="3" t="str">
        <f>"1"</f>
        <v>1</v>
      </c>
      <c r="I647" s="4" t="str">
        <f>"100"</f>
        <v>100</v>
      </c>
      <c r="J647" s="2">
        <v>45848</v>
      </c>
      <c r="K647" s="1" t="s">
        <v>1654</v>
      </c>
    </row>
    <row r="648" spans="1:11" x14ac:dyDescent="0.35">
      <c r="A648" s="3" t="s">
        <v>1445</v>
      </c>
      <c r="B648" s="1" t="s">
        <v>1629</v>
      </c>
      <c r="C648" s="1" t="s">
        <v>1663</v>
      </c>
      <c r="D648" s="1" t="str">
        <f>"8415"</f>
        <v>8415</v>
      </c>
      <c r="E648" s="1" t="str">
        <f>"016239598"</f>
        <v>016239598</v>
      </c>
      <c r="F648" s="1" t="s">
        <v>1664</v>
      </c>
      <c r="G648" s="3" t="s">
        <v>847</v>
      </c>
      <c r="H648" s="3" t="str">
        <f>"12"</f>
        <v>12</v>
      </c>
      <c r="I648" s="4">
        <v>22.69</v>
      </c>
      <c r="J648" s="2">
        <v>45848</v>
      </c>
      <c r="K648" s="1" t="s">
        <v>1665</v>
      </c>
    </row>
    <row r="649" spans="1:11" x14ac:dyDescent="0.35">
      <c r="A649" s="3" t="s">
        <v>1445</v>
      </c>
      <c r="B649" s="1" t="s">
        <v>1629</v>
      </c>
      <c r="C649" s="1" t="s">
        <v>1666</v>
      </c>
      <c r="D649" s="1" t="str">
        <f>"8415"</f>
        <v>8415</v>
      </c>
      <c r="E649" s="1" t="str">
        <f>"016239603"</f>
        <v>016239603</v>
      </c>
      <c r="F649" s="1" t="s">
        <v>1664</v>
      </c>
      <c r="G649" s="3" t="s">
        <v>847</v>
      </c>
      <c r="H649" s="3" t="str">
        <f>"74"</f>
        <v>74</v>
      </c>
      <c r="I649" s="4">
        <v>22.69</v>
      </c>
      <c r="J649" s="2">
        <v>45848</v>
      </c>
      <c r="K649" s="1" t="s">
        <v>1667</v>
      </c>
    </row>
    <row r="650" spans="1:11" x14ac:dyDescent="0.35">
      <c r="A650" s="3" t="s">
        <v>1445</v>
      </c>
      <c r="B650" s="1" t="s">
        <v>1629</v>
      </c>
      <c r="C650" s="1" t="s">
        <v>1668</v>
      </c>
      <c r="D650" s="1" t="str">
        <f>"8415"</f>
        <v>8415</v>
      </c>
      <c r="E650" s="1" t="str">
        <f>"016239601"</f>
        <v>016239601</v>
      </c>
      <c r="F650" s="1" t="s">
        <v>1664</v>
      </c>
      <c r="G650" s="3" t="s">
        <v>847</v>
      </c>
      <c r="H650" s="3" t="str">
        <f>"12"</f>
        <v>12</v>
      </c>
      <c r="I650" s="4">
        <v>22.69</v>
      </c>
      <c r="J650" s="2">
        <v>45848</v>
      </c>
      <c r="K650" s="1" t="s">
        <v>1665</v>
      </c>
    </row>
    <row r="651" spans="1:11" x14ac:dyDescent="0.35">
      <c r="A651" s="3" t="s">
        <v>1445</v>
      </c>
      <c r="B651" s="1" t="s">
        <v>1629</v>
      </c>
      <c r="C651" s="1" t="s">
        <v>1669</v>
      </c>
      <c r="D651" s="1" t="str">
        <f>"8415"</f>
        <v>8415</v>
      </c>
      <c r="E651" s="1" t="str">
        <f>"016239605"</f>
        <v>016239605</v>
      </c>
      <c r="F651" s="1" t="s">
        <v>1664</v>
      </c>
      <c r="G651" s="3" t="s">
        <v>847</v>
      </c>
      <c r="H651" s="3" t="str">
        <f>"41"</f>
        <v>41</v>
      </c>
      <c r="I651" s="4">
        <v>22.69</v>
      </c>
      <c r="J651" s="2">
        <v>45848</v>
      </c>
      <c r="K651" s="1" t="s">
        <v>1665</v>
      </c>
    </row>
    <row r="652" spans="1:11" x14ac:dyDescent="0.35">
      <c r="A652" s="3" t="s">
        <v>1445</v>
      </c>
      <c r="B652" s="1" t="s">
        <v>1629</v>
      </c>
      <c r="C652" s="1" t="s">
        <v>1670</v>
      </c>
      <c r="D652" s="1" t="str">
        <f>"8415"</f>
        <v>8415</v>
      </c>
      <c r="E652" s="1" t="str">
        <f>"016239598"</f>
        <v>016239598</v>
      </c>
      <c r="F652" s="1" t="s">
        <v>1664</v>
      </c>
      <c r="G652" s="3" t="s">
        <v>847</v>
      </c>
      <c r="H652" s="3" t="str">
        <f>"30"</f>
        <v>30</v>
      </c>
      <c r="I652" s="4">
        <v>22.69</v>
      </c>
      <c r="J652" s="2">
        <v>45848</v>
      </c>
      <c r="K652" s="1" t="s">
        <v>1665</v>
      </c>
    </row>
    <row r="653" spans="1:11" x14ac:dyDescent="0.35">
      <c r="A653" s="3" t="s">
        <v>1445</v>
      </c>
      <c r="B653" s="1" t="s">
        <v>1682</v>
      </c>
      <c r="C653" s="1" t="s">
        <v>1689</v>
      </c>
      <c r="D653" s="1" t="str">
        <f>"7025"</f>
        <v>7025</v>
      </c>
      <c r="E653" s="1" t="s">
        <v>1690</v>
      </c>
      <c r="F653" s="1" t="s">
        <v>1691</v>
      </c>
      <c r="G653" s="3" t="s">
        <v>15</v>
      </c>
      <c r="H653" s="3" t="str">
        <f>"10"</f>
        <v>10</v>
      </c>
      <c r="I653" s="4">
        <v>548.30999999999995</v>
      </c>
      <c r="J653" s="2">
        <v>45846</v>
      </c>
      <c r="K653" s="1" t="s">
        <v>1692</v>
      </c>
    </row>
    <row r="654" spans="1:11" x14ac:dyDescent="0.35">
      <c r="A654" s="3" t="s">
        <v>1445</v>
      </c>
      <c r="B654" s="1" t="s">
        <v>1459</v>
      </c>
      <c r="C654" s="1" t="s">
        <v>1519</v>
      </c>
      <c r="D654" s="1" t="str">
        <f>"6220"</f>
        <v>6220</v>
      </c>
      <c r="E654" s="1" t="str">
        <f>"015502233"</f>
        <v>015502233</v>
      </c>
      <c r="F654" s="1" t="s">
        <v>1520</v>
      </c>
      <c r="G654" s="3" t="s">
        <v>15</v>
      </c>
      <c r="H654" s="3" t="str">
        <f>"1"</f>
        <v>1</v>
      </c>
      <c r="I654" s="4">
        <v>788.68</v>
      </c>
      <c r="J654" s="2">
        <v>45840</v>
      </c>
      <c r="K654" s="1" t="s">
        <v>1521</v>
      </c>
    </row>
    <row r="655" spans="1:11" x14ac:dyDescent="0.35">
      <c r="A655" s="3" t="s">
        <v>1445</v>
      </c>
      <c r="B655" s="1" t="s">
        <v>1459</v>
      </c>
      <c r="C655" s="1" t="s">
        <v>1591</v>
      </c>
      <c r="D655" s="1" t="str">
        <f>"7240"</f>
        <v>7240</v>
      </c>
      <c r="E655" s="1" t="str">
        <f>"000893827"</f>
        <v>000893827</v>
      </c>
      <c r="F655" s="1" t="s">
        <v>1592</v>
      </c>
      <c r="G655" s="3" t="s">
        <v>15</v>
      </c>
      <c r="H655" s="3" t="str">
        <f>"5"</f>
        <v>5</v>
      </c>
      <c r="I655" s="4">
        <v>44.15</v>
      </c>
      <c r="J655" s="2">
        <v>45840</v>
      </c>
      <c r="K655" s="1" t="s">
        <v>1593</v>
      </c>
    </row>
    <row r="656" spans="1:11" x14ac:dyDescent="0.35">
      <c r="A656" s="3" t="s">
        <v>1445</v>
      </c>
      <c r="B656" s="1" t="s">
        <v>1459</v>
      </c>
      <c r="C656" s="1" t="s">
        <v>1610</v>
      </c>
      <c r="D656" s="1" t="str">
        <f>"8415"</f>
        <v>8415</v>
      </c>
      <c r="E656" s="1" t="s">
        <v>1606</v>
      </c>
      <c r="F656" s="1" t="s">
        <v>1607</v>
      </c>
      <c r="G656" s="3" t="s">
        <v>15</v>
      </c>
      <c r="H656" s="3" t="str">
        <f>"5"</f>
        <v>5</v>
      </c>
      <c r="I656" s="4" t="str">
        <f>"50"</f>
        <v>50</v>
      </c>
      <c r="J656" s="2">
        <v>45840</v>
      </c>
      <c r="K656" s="1" t="s">
        <v>1608</v>
      </c>
    </row>
    <row r="657" spans="1:11" x14ac:dyDescent="0.35">
      <c r="A657" s="3" t="s">
        <v>1445</v>
      </c>
      <c r="B657" s="1" t="s">
        <v>1459</v>
      </c>
      <c r="C657" s="1" t="s">
        <v>1611</v>
      </c>
      <c r="D657" s="1" t="str">
        <f>"8415"</f>
        <v>8415</v>
      </c>
      <c r="E657" s="1" t="s">
        <v>1606</v>
      </c>
      <c r="F657" s="1" t="s">
        <v>1607</v>
      </c>
      <c r="G657" s="3" t="s">
        <v>15</v>
      </c>
      <c r="H657" s="3" t="str">
        <f>"5"</f>
        <v>5</v>
      </c>
      <c r="I657" s="4" t="str">
        <f>"50"</f>
        <v>50</v>
      </c>
      <c r="J657" s="2">
        <v>45840</v>
      </c>
      <c r="K657" s="1" t="s">
        <v>1608</v>
      </c>
    </row>
    <row r="658" spans="1:11" x14ac:dyDescent="0.35">
      <c r="A658" s="3" t="s">
        <v>1445</v>
      </c>
      <c r="B658" s="1" t="s">
        <v>1629</v>
      </c>
      <c r="C658" s="1" t="s">
        <v>1671</v>
      </c>
      <c r="D658" s="1" t="str">
        <f>"8465"</f>
        <v>8465</v>
      </c>
      <c r="E658" s="1" t="str">
        <f>"016046541"</f>
        <v>016046541</v>
      </c>
      <c r="F658" s="1" t="s">
        <v>975</v>
      </c>
      <c r="G658" s="3" t="s">
        <v>15</v>
      </c>
      <c r="H658" s="3" t="str">
        <f>"100"</f>
        <v>100</v>
      </c>
      <c r="I658" s="4">
        <v>41.87</v>
      </c>
      <c r="J658" s="2">
        <v>45840</v>
      </c>
      <c r="K658" s="1" t="s">
        <v>1672</v>
      </c>
    </row>
    <row r="659" spans="1:11" x14ac:dyDescent="0.35">
      <c r="A659" s="3" t="s">
        <v>1445</v>
      </c>
      <c r="B659" s="1" t="s">
        <v>1682</v>
      </c>
      <c r="C659" s="1" t="s">
        <v>1686</v>
      </c>
      <c r="D659" s="1" t="str">
        <f>"3110"</f>
        <v>3110</v>
      </c>
      <c r="E659" s="1" t="str">
        <f>"001362375"</f>
        <v>001362375</v>
      </c>
      <c r="F659" s="1" t="s">
        <v>1687</v>
      </c>
      <c r="G659" s="3" t="s">
        <v>15</v>
      </c>
      <c r="H659" s="3" t="str">
        <f>"6"</f>
        <v>6</v>
      </c>
      <c r="I659" s="4">
        <v>989.82</v>
      </c>
      <c r="J659" s="2">
        <v>45840</v>
      </c>
      <c r="K659" s="1" t="s">
        <v>1688</v>
      </c>
    </row>
    <row r="660" spans="1:11" x14ac:dyDescent="0.35">
      <c r="A660" s="3" t="s">
        <v>1445</v>
      </c>
      <c r="B660" s="1" t="s">
        <v>1459</v>
      </c>
      <c r="C660" s="1" t="s">
        <v>1467</v>
      </c>
      <c r="D660" s="1" t="str">
        <f>"1240"</f>
        <v>1240</v>
      </c>
      <c r="E660" s="1" t="str">
        <f>"015615149"</f>
        <v>015615149</v>
      </c>
      <c r="F660" s="1" t="s">
        <v>1468</v>
      </c>
      <c r="G660" s="3" t="s">
        <v>15</v>
      </c>
      <c r="H660" s="3" t="str">
        <f>"4"</f>
        <v>4</v>
      </c>
      <c r="I660" s="4" t="str">
        <f>"26236"</f>
        <v>26236</v>
      </c>
      <c r="J660" s="2">
        <v>45839</v>
      </c>
      <c r="K660" s="1" t="s">
        <v>1469</v>
      </c>
    </row>
    <row r="661" spans="1:11" x14ac:dyDescent="0.35">
      <c r="A661" s="3" t="s">
        <v>1699</v>
      </c>
      <c r="B661" s="1" t="s">
        <v>1730</v>
      </c>
      <c r="C661" s="1" t="s">
        <v>1731</v>
      </c>
      <c r="D661" s="1" t="str">
        <f>"6545"</f>
        <v>6545</v>
      </c>
      <c r="E661" s="1" t="str">
        <f>"015300929"</f>
        <v>015300929</v>
      </c>
      <c r="F661" s="1" t="s">
        <v>293</v>
      </c>
      <c r="G661" s="3" t="s">
        <v>19</v>
      </c>
      <c r="H661" s="3" t="str">
        <f>"25"</f>
        <v>25</v>
      </c>
      <c r="I661" s="4">
        <v>62.81</v>
      </c>
      <c r="J661" s="2">
        <v>45929</v>
      </c>
      <c r="K661" s="1" t="s">
        <v>1732</v>
      </c>
    </row>
    <row r="662" spans="1:11" x14ac:dyDescent="0.35">
      <c r="A662" s="3" t="s">
        <v>1699</v>
      </c>
      <c r="B662" s="1" t="s">
        <v>1730</v>
      </c>
      <c r="C662" s="1" t="s">
        <v>1736</v>
      </c>
      <c r="D662" s="1" t="str">
        <f>"8105"</f>
        <v>8105</v>
      </c>
      <c r="E662" s="1" t="s">
        <v>1737</v>
      </c>
      <c r="F662" s="1" t="s">
        <v>1738</v>
      </c>
      <c r="G662" s="3" t="s">
        <v>15</v>
      </c>
      <c r="H662" s="3" t="str">
        <f>"20"</f>
        <v>20</v>
      </c>
      <c r="I662" s="4" t="str">
        <f>"45"</f>
        <v>45</v>
      </c>
      <c r="J662" s="2">
        <v>45929</v>
      </c>
      <c r="K662" s="1" t="s">
        <v>1739</v>
      </c>
    </row>
    <row r="663" spans="1:11" x14ac:dyDescent="0.35">
      <c r="A663" s="3" t="s">
        <v>1699</v>
      </c>
      <c r="B663" s="1" t="s">
        <v>1750</v>
      </c>
      <c r="C663" s="1" t="s">
        <v>1751</v>
      </c>
      <c r="D663" s="1" t="str">
        <f>"1095"</f>
        <v>1095</v>
      </c>
      <c r="E663" s="1" t="str">
        <f>"015432189"</f>
        <v>015432189</v>
      </c>
      <c r="F663" s="1" t="s">
        <v>106</v>
      </c>
      <c r="G663" s="3" t="s">
        <v>15</v>
      </c>
      <c r="H663" s="3" t="str">
        <f>"5"</f>
        <v>5</v>
      </c>
      <c r="I663" s="4" t="str">
        <f>"959"</f>
        <v>959</v>
      </c>
      <c r="J663" s="2">
        <v>45929</v>
      </c>
      <c r="K663" s="1" t="s">
        <v>1752</v>
      </c>
    </row>
    <row r="664" spans="1:11" x14ac:dyDescent="0.35">
      <c r="A664" s="3" t="s">
        <v>1699</v>
      </c>
      <c r="B664" s="1" t="s">
        <v>1750</v>
      </c>
      <c r="C664" s="1" t="s">
        <v>1753</v>
      </c>
      <c r="D664" s="1" t="str">
        <f>"1095"</f>
        <v>1095</v>
      </c>
      <c r="E664" s="1" t="str">
        <f>"015432189"</f>
        <v>015432189</v>
      </c>
      <c r="F664" s="1" t="s">
        <v>106</v>
      </c>
      <c r="G664" s="3" t="s">
        <v>15</v>
      </c>
      <c r="H664" s="3" t="str">
        <f>"4"</f>
        <v>4</v>
      </c>
      <c r="I664" s="4" t="str">
        <f>"959"</f>
        <v>959</v>
      </c>
      <c r="J664" s="2">
        <v>45929</v>
      </c>
      <c r="K664" s="1" t="s">
        <v>1754</v>
      </c>
    </row>
    <row r="665" spans="1:11" x14ac:dyDescent="0.35">
      <c r="A665" s="3" t="s">
        <v>1699</v>
      </c>
      <c r="B665" s="1" t="s">
        <v>1818</v>
      </c>
      <c r="C665" s="1" t="s">
        <v>1835</v>
      </c>
      <c r="D665" s="1" t="str">
        <f>"4140"</f>
        <v>4140</v>
      </c>
      <c r="E665" s="1" t="s">
        <v>590</v>
      </c>
      <c r="F665" s="1" t="s">
        <v>591</v>
      </c>
      <c r="G665" s="3" t="s">
        <v>15</v>
      </c>
      <c r="H665" s="3" t="str">
        <f>"1"</f>
        <v>1</v>
      </c>
      <c r="I665" s="4" t="str">
        <f>"469"</f>
        <v>469</v>
      </c>
      <c r="J665" s="2">
        <v>45929</v>
      </c>
      <c r="K665" s="1" t="s">
        <v>1836</v>
      </c>
    </row>
    <row r="666" spans="1:11" x14ac:dyDescent="0.35">
      <c r="A666" s="3" t="s">
        <v>1699</v>
      </c>
      <c r="B666" s="1" t="s">
        <v>1730</v>
      </c>
      <c r="C666" s="1" t="s">
        <v>1733</v>
      </c>
      <c r="D666" s="1" t="str">
        <f>"6910"</f>
        <v>6910</v>
      </c>
      <c r="E666" s="1" t="str">
        <f>"015793812"</f>
        <v>015793812</v>
      </c>
      <c r="F666" s="1" t="s">
        <v>1734</v>
      </c>
      <c r="G666" s="3" t="s">
        <v>15</v>
      </c>
      <c r="H666" s="3" t="str">
        <f>"1"</f>
        <v>1</v>
      </c>
      <c r="I666" s="4">
        <v>2362.86</v>
      </c>
      <c r="J666" s="2">
        <v>45922</v>
      </c>
      <c r="K666" s="1" t="s">
        <v>1735</v>
      </c>
    </row>
    <row r="667" spans="1:11" x14ac:dyDescent="0.35">
      <c r="A667" s="3" t="s">
        <v>1699</v>
      </c>
      <c r="B667" s="1" t="s">
        <v>1791</v>
      </c>
      <c r="C667" s="1" t="s">
        <v>1792</v>
      </c>
      <c r="D667" s="1" t="str">
        <f>"3431"</f>
        <v>3431</v>
      </c>
      <c r="E667" s="1" t="str">
        <f>"012462247"</f>
        <v>012462247</v>
      </c>
      <c r="F667" s="1" t="s">
        <v>1793</v>
      </c>
      <c r="G667" s="3" t="s">
        <v>15</v>
      </c>
      <c r="H667" s="3" t="str">
        <f>"1"</f>
        <v>1</v>
      </c>
      <c r="I667" s="4" t="str">
        <f>"13540"</f>
        <v>13540</v>
      </c>
      <c r="J667" s="2">
        <v>45922</v>
      </c>
      <c r="K667" s="1" t="s">
        <v>1794</v>
      </c>
    </row>
    <row r="668" spans="1:11" x14ac:dyDescent="0.35">
      <c r="A668" s="3" t="s">
        <v>1699</v>
      </c>
      <c r="B668" s="1" t="s">
        <v>1818</v>
      </c>
      <c r="C668" s="1" t="s">
        <v>1833</v>
      </c>
      <c r="D668" s="1" t="str">
        <f>"3990"</f>
        <v>3990</v>
      </c>
      <c r="E668" s="1" t="s">
        <v>154</v>
      </c>
      <c r="F668" s="1" t="s">
        <v>155</v>
      </c>
      <c r="G668" s="3" t="s">
        <v>15</v>
      </c>
      <c r="H668" s="3" t="str">
        <f>"1"</f>
        <v>1</v>
      </c>
      <c r="I668" s="4" t="str">
        <f>"2000"</f>
        <v>2000</v>
      </c>
      <c r="J668" s="2">
        <v>45917</v>
      </c>
      <c r="K668" s="1" t="s">
        <v>1834</v>
      </c>
    </row>
    <row r="669" spans="1:11" x14ac:dyDescent="0.35">
      <c r="A669" s="3" t="s">
        <v>1699</v>
      </c>
      <c r="B669" s="1" t="s">
        <v>1764</v>
      </c>
      <c r="C669" s="1" t="s">
        <v>1771</v>
      </c>
      <c r="D669" s="1" t="str">
        <f>"6115"</f>
        <v>6115</v>
      </c>
      <c r="E669" s="1" t="str">
        <f>"012961462"</f>
        <v>012961462</v>
      </c>
      <c r="F669" s="1" t="s">
        <v>1772</v>
      </c>
      <c r="G669" s="3" t="s">
        <v>15</v>
      </c>
      <c r="H669" s="3" t="str">
        <f>"3"</f>
        <v>3</v>
      </c>
      <c r="I669" s="4" t="str">
        <f>"75000"</f>
        <v>75000</v>
      </c>
      <c r="J669" s="2">
        <v>45915</v>
      </c>
      <c r="K669" s="1" t="s">
        <v>1773</v>
      </c>
    </row>
    <row r="670" spans="1:11" x14ac:dyDescent="0.35">
      <c r="A670" s="3" t="s">
        <v>1699</v>
      </c>
      <c r="B670" s="1" t="s">
        <v>1818</v>
      </c>
      <c r="C670" s="1" t="s">
        <v>1827</v>
      </c>
      <c r="D670" s="1" t="str">
        <f>"2530"</f>
        <v>2530</v>
      </c>
      <c r="E670" s="1" t="str">
        <f>"015582138"</f>
        <v>015582138</v>
      </c>
      <c r="F670" s="1" t="s">
        <v>1631</v>
      </c>
      <c r="G670" s="3" t="s">
        <v>1632</v>
      </c>
      <c r="H670" s="3" t="str">
        <f>"4"</f>
        <v>4</v>
      </c>
      <c r="I670" s="4" t="str">
        <f>"2386"</f>
        <v>2386</v>
      </c>
      <c r="J670" s="2">
        <v>45912</v>
      </c>
      <c r="K670" s="1" t="s">
        <v>1828</v>
      </c>
    </row>
    <row r="671" spans="1:11" x14ac:dyDescent="0.35">
      <c r="A671" s="3" t="s">
        <v>1699</v>
      </c>
      <c r="B671" s="1" t="s">
        <v>1740</v>
      </c>
      <c r="C671" s="1" t="s">
        <v>1745</v>
      </c>
      <c r="D671" s="1" t="str">
        <f>"3930"</f>
        <v>3930</v>
      </c>
      <c r="E671" s="1" t="s">
        <v>1706</v>
      </c>
      <c r="F671" s="1" t="s">
        <v>1707</v>
      </c>
      <c r="G671" s="3" t="s">
        <v>15</v>
      </c>
      <c r="H671" s="3" t="str">
        <f>"1"</f>
        <v>1</v>
      </c>
      <c r="I671" s="4" t="str">
        <f>"22504"</f>
        <v>22504</v>
      </c>
      <c r="J671" s="2">
        <v>45910</v>
      </c>
      <c r="K671" s="1" t="s">
        <v>1746</v>
      </c>
    </row>
    <row r="672" spans="1:11" x14ac:dyDescent="0.35">
      <c r="A672" s="3" t="s">
        <v>1699</v>
      </c>
      <c r="B672" s="1" t="s">
        <v>1726</v>
      </c>
      <c r="C672" s="1" t="s">
        <v>1727</v>
      </c>
      <c r="D672" s="1" t="str">
        <f>"6130"</f>
        <v>6130</v>
      </c>
      <c r="E672" s="1" t="str">
        <f>"015714261"</f>
        <v>015714261</v>
      </c>
      <c r="F672" s="1" t="s">
        <v>1728</v>
      </c>
      <c r="G672" s="3" t="s">
        <v>15</v>
      </c>
      <c r="H672" s="3" t="str">
        <f>"2"</f>
        <v>2</v>
      </c>
      <c r="I672" s="4">
        <v>1717.18</v>
      </c>
      <c r="J672" s="2">
        <v>45897</v>
      </c>
      <c r="K672" s="1" t="s">
        <v>1729</v>
      </c>
    </row>
    <row r="673" spans="1:11" x14ac:dyDescent="0.35">
      <c r="A673" s="3" t="s">
        <v>1699</v>
      </c>
      <c r="B673" s="1" t="s">
        <v>1740</v>
      </c>
      <c r="C673" s="1" t="s">
        <v>1747</v>
      </c>
      <c r="D673" s="1" t="str">
        <f>"4220"</f>
        <v>4220</v>
      </c>
      <c r="E673" s="1" t="str">
        <f>"014629685"</f>
        <v>014629685</v>
      </c>
      <c r="F673" s="1" t="s">
        <v>1748</v>
      </c>
      <c r="G673" s="3" t="s">
        <v>15</v>
      </c>
      <c r="H673" s="3" t="str">
        <f>"2"</f>
        <v>2</v>
      </c>
      <c r="I673" s="4">
        <v>1539.92</v>
      </c>
      <c r="J673" s="2">
        <v>45897</v>
      </c>
      <c r="K673" s="1" t="s">
        <v>1749</v>
      </c>
    </row>
    <row r="674" spans="1:11" x14ac:dyDescent="0.35">
      <c r="A674" s="3" t="s">
        <v>1699</v>
      </c>
      <c r="B674" s="1" t="s">
        <v>1764</v>
      </c>
      <c r="C674" s="1" t="s">
        <v>1777</v>
      </c>
      <c r="D674" s="1" t="str">
        <f>"7110"</f>
        <v>7110</v>
      </c>
      <c r="E674" s="1" t="s">
        <v>1778</v>
      </c>
      <c r="F674" s="1" t="s">
        <v>1779</v>
      </c>
      <c r="G674" s="3" t="s">
        <v>15</v>
      </c>
      <c r="H674" s="3" t="str">
        <f>"1"</f>
        <v>1</v>
      </c>
      <c r="I674" s="4" t="str">
        <f>"100"</f>
        <v>100</v>
      </c>
      <c r="J674" s="2">
        <v>45897</v>
      </c>
      <c r="K674" s="1" t="s">
        <v>1780</v>
      </c>
    </row>
    <row r="675" spans="1:11" x14ac:dyDescent="0.35">
      <c r="A675" s="3" t="s">
        <v>1699</v>
      </c>
      <c r="B675" s="1" t="s">
        <v>1764</v>
      </c>
      <c r="C675" s="1" t="s">
        <v>1781</v>
      </c>
      <c r="D675" s="1" t="str">
        <f>"7110"</f>
        <v>7110</v>
      </c>
      <c r="E675" s="1" t="s">
        <v>1782</v>
      </c>
      <c r="F675" s="1" t="s">
        <v>1783</v>
      </c>
      <c r="G675" s="3" t="s">
        <v>15</v>
      </c>
      <c r="H675" s="3" t="str">
        <f>"1"</f>
        <v>1</v>
      </c>
      <c r="I675" s="4" t="str">
        <f>"100"</f>
        <v>100</v>
      </c>
      <c r="J675" s="2">
        <v>45897</v>
      </c>
      <c r="K675" s="1" t="s">
        <v>1784</v>
      </c>
    </row>
    <row r="676" spans="1:11" x14ac:dyDescent="0.35">
      <c r="A676" s="3" t="s">
        <v>1699</v>
      </c>
      <c r="B676" s="1" t="s">
        <v>1750</v>
      </c>
      <c r="C676" s="1" t="s">
        <v>1760</v>
      </c>
      <c r="D676" s="1" t="str">
        <f>"6730"</f>
        <v>6730</v>
      </c>
      <c r="E676" s="1" t="s">
        <v>1761</v>
      </c>
      <c r="F676" s="1" t="s">
        <v>1762</v>
      </c>
      <c r="G676" s="3" t="s">
        <v>15</v>
      </c>
      <c r="H676" s="3" t="str">
        <f>"3"</f>
        <v>3</v>
      </c>
      <c r="I676" s="4">
        <v>14393.75</v>
      </c>
      <c r="J676" s="2">
        <v>45895</v>
      </c>
      <c r="K676" s="1" t="s">
        <v>1763</v>
      </c>
    </row>
    <row r="677" spans="1:11" x14ac:dyDescent="0.35">
      <c r="A677" s="3" t="s">
        <v>1699</v>
      </c>
      <c r="B677" s="1" t="s">
        <v>1704</v>
      </c>
      <c r="C677" s="1" t="s">
        <v>1709</v>
      </c>
      <c r="D677" s="1" t="str">
        <f>"4810"</f>
        <v>4810</v>
      </c>
      <c r="E677" s="1" t="str">
        <f>"011539363"</f>
        <v>011539363</v>
      </c>
      <c r="F677" s="1" t="s">
        <v>1710</v>
      </c>
      <c r="G677" s="3" t="s">
        <v>15</v>
      </c>
      <c r="H677" s="3" t="str">
        <f>"2"</f>
        <v>2</v>
      </c>
      <c r="I677" s="4" t="str">
        <f>"4231"</f>
        <v>4231</v>
      </c>
      <c r="J677" s="2">
        <v>45890</v>
      </c>
      <c r="K677" s="1" t="s">
        <v>1711</v>
      </c>
    </row>
    <row r="678" spans="1:11" x14ac:dyDescent="0.35">
      <c r="A678" s="3" t="s">
        <v>1699</v>
      </c>
      <c r="B678" s="1" t="s">
        <v>1704</v>
      </c>
      <c r="C678" s="1" t="s">
        <v>1712</v>
      </c>
      <c r="D678" s="1" t="str">
        <f>"4810"</f>
        <v>4810</v>
      </c>
      <c r="E678" s="1" t="str">
        <f>"011539363"</f>
        <v>011539363</v>
      </c>
      <c r="F678" s="1" t="s">
        <v>1710</v>
      </c>
      <c r="G678" s="3" t="s">
        <v>15</v>
      </c>
      <c r="H678" s="3" t="str">
        <f>"4"</f>
        <v>4</v>
      </c>
      <c r="I678" s="4" t="str">
        <f>"4231"</f>
        <v>4231</v>
      </c>
      <c r="J678" s="2">
        <v>45890</v>
      </c>
      <c r="K678" s="1" t="s">
        <v>1713</v>
      </c>
    </row>
    <row r="679" spans="1:11" x14ac:dyDescent="0.35">
      <c r="A679" s="3" t="s">
        <v>1699</v>
      </c>
      <c r="B679" s="1" t="s">
        <v>1818</v>
      </c>
      <c r="C679" s="1" t="s">
        <v>1822</v>
      </c>
      <c r="D679" s="1" t="str">
        <f>"2320"</f>
        <v>2320</v>
      </c>
      <c r="E679" s="1" t="s">
        <v>274</v>
      </c>
      <c r="F679" s="1" t="s">
        <v>275</v>
      </c>
      <c r="G679" s="3" t="s">
        <v>15</v>
      </c>
      <c r="H679" s="3" t="str">
        <f>"1"</f>
        <v>1</v>
      </c>
      <c r="I679" s="4" t="str">
        <f>"30000"</f>
        <v>30000</v>
      </c>
      <c r="J679" s="2">
        <v>45889</v>
      </c>
      <c r="K679" s="1" t="s">
        <v>1823</v>
      </c>
    </row>
    <row r="680" spans="1:11" x14ac:dyDescent="0.35">
      <c r="A680" s="3" t="s">
        <v>1699</v>
      </c>
      <c r="B680" s="1" t="s">
        <v>1818</v>
      </c>
      <c r="C680" s="1" t="s">
        <v>1824</v>
      </c>
      <c r="D680" s="1" t="str">
        <f>"2320"</f>
        <v>2320</v>
      </c>
      <c r="E680" s="1" t="s">
        <v>274</v>
      </c>
      <c r="F680" s="1" t="s">
        <v>275</v>
      </c>
      <c r="G680" s="3" t="s">
        <v>15</v>
      </c>
      <c r="H680" s="3" t="str">
        <f>"1"</f>
        <v>1</v>
      </c>
      <c r="I680" s="4" t="str">
        <f>"30000"</f>
        <v>30000</v>
      </c>
      <c r="J680" s="2">
        <v>45889</v>
      </c>
      <c r="K680" s="1" t="s">
        <v>1823</v>
      </c>
    </row>
    <row r="681" spans="1:11" x14ac:dyDescent="0.35">
      <c r="A681" s="3" t="s">
        <v>1699</v>
      </c>
      <c r="B681" s="1" t="s">
        <v>1818</v>
      </c>
      <c r="C681" s="1" t="s">
        <v>1825</v>
      </c>
      <c r="D681" s="1" t="str">
        <f>"2320"</f>
        <v>2320</v>
      </c>
      <c r="E681" s="1" t="s">
        <v>274</v>
      </c>
      <c r="F681" s="1" t="s">
        <v>275</v>
      </c>
      <c r="G681" s="3" t="s">
        <v>15</v>
      </c>
      <c r="H681" s="3" t="str">
        <f>"1"</f>
        <v>1</v>
      </c>
      <c r="I681" s="4" t="str">
        <f>"30000"</f>
        <v>30000</v>
      </c>
      <c r="J681" s="2">
        <v>45889</v>
      </c>
      <c r="K681" s="1" t="s">
        <v>1823</v>
      </c>
    </row>
    <row r="682" spans="1:11" x14ac:dyDescent="0.35">
      <c r="A682" s="3" t="s">
        <v>1699</v>
      </c>
      <c r="B682" s="1" t="s">
        <v>1818</v>
      </c>
      <c r="C682" s="1" t="s">
        <v>1826</v>
      </c>
      <c r="D682" s="1" t="str">
        <f>"2320"</f>
        <v>2320</v>
      </c>
      <c r="E682" s="1" t="s">
        <v>274</v>
      </c>
      <c r="F682" s="1" t="s">
        <v>275</v>
      </c>
      <c r="G682" s="3" t="s">
        <v>15</v>
      </c>
      <c r="H682" s="3" t="str">
        <f>"1"</f>
        <v>1</v>
      </c>
      <c r="I682" s="4" t="str">
        <f>"30000"</f>
        <v>30000</v>
      </c>
      <c r="J682" s="2">
        <v>45889</v>
      </c>
      <c r="K682" s="1" t="s">
        <v>1823</v>
      </c>
    </row>
    <row r="683" spans="1:11" x14ac:dyDescent="0.35">
      <c r="A683" s="3" t="s">
        <v>1699</v>
      </c>
      <c r="B683" s="1" t="s">
        <v>1795</v>
      </c>
      <c r="C683" s="1" t="s">
        <v>1796</v>
      </c>
      <c r="D683" s="1" t="str">
        <f>"2320"</f>
        <v>2320</v>
      </c>
      <c r="E683" s="1" t="str">
        <f>"015761349"</f>
        <v>015761349</v>
      </c>
      <c r="F683" s="1" t="s">
        <v>604</v>
      </c>
      <c r="G683" s="3" t="s">
        <v>15</v>
      </c>
      <c r="H683" s="3" t="str">
        <f>"1"</f>
        <v>1</v>
      </c>
      <c r="I683" s="4" t="str">
        <f>"17000"</f>
        <v>17000</v>
      </c>
      <c r="J683" s="2">
        <v>45884</v>
      </c>
      <c r="K683" s="1" t="s">
        <v>1797</v>
      </c>
    </row>
    <row r="684" spans="1:11" x14ac:dyDescent="0.35">
      <c r="A684" s="3" t="s">
        <v>1699</v>
      </c>
      <c r="B684" s="1" t="s">
        <v>1810</v>
      </c>
      <c r="C684" s="1" t="s">
        <v>1811</v>
      </c>
      <c r="D684" s="1" t="str">
        <f>"2610"</f>
        <v>2610</v>
      </c>
      <c r="E684" s="1" t="str">
        <f>"011946220"</f>
        <v>011946220</v>
      </c>
      <c r="F684" s="1" t="s">
        <v>1329</v>
      </c>
      <c r="G684" s="3" t="s">
        <v>15</v>
      </c>
      <c r="H684" s="3" t="str">
        <f>"9"</f>
        <v>9</v>
      </c>
      <c r="I684" s="4">
        <v>464.89</v>
      </c>
      <c r="J684" s="2">
        <v>45882</v>
      </c>
      <c r="K684" s="1" t="s">
        <v>1812</v>
      </c>
    </row>
    <row r="685" spans="1:11" x14ac:dyDescent="0.35">
      <c r="A685" s="3" t="s">
        <v>1699</v>
      </c>
      <c r="B685" s="1" t="s">
        <v>1810</v>
      </c>
      <c r="C685" s="1" t="s">
        <v>1813</v>
      </c>
      <c r="D685" s="1" t="str">
        <f>"2610"</f>
        <v>2610</v>
      </c>
      <c r="E685" s="1" t="str">
        <f>"015073633"</f>
        <v>015073633</v>
      </c>
      <c r="F685" s="1" t="s">
        <v>1329</v>
      </c>
      <c r="G685" s="3" t="s">
        <v>15</v>
      </c>
      <c r="H685" s="3" t="str">
        <f>"4"</f>
        <v>4</v>
      </c>
      <c r="I685" s="4">
        <v>777.76</v>
      </c>
      <c r="J685" s="2">
        <v>45882</v>
      </c>
      <c r="K685" s="1" t="s">
        <v>1814</v>
      </c>
    </row>
    <row r="686" spans="1:11" x14ac:dyDescent="0.35">
      <c r="A686" s="3" t="s">
        <v>1699</v>
      </c>
      <c r="B686" s="1" t="s">
        <v>1740</v>
      </c>
      <c r="C686" s="1" t="s">
        <v>1741</v>
      </c>
      <c r="D686" s="1" t="str">
        <f>"1005"</f>
        <v>1005</v>
      </c>
      <c r="E686" s="1" t="s">
        <v>1742</v>
      </c>
      <c r="F686" s="1" t="s">
        <v>1743</v>
      </c>
      <c r="G686" s="3" t="s">
        <v>15</v>
      </c>
      <c r="H686" s="3" t="str">
        <f>"29"</f>
        <v>29</v>
      </c>
      <c r="I686" s="4" t="str">
        <f>"150"</f>
        <v>150</v>
      </c>
      <c r="J686" s="2">
        <v>45881</v>
      </c>
      <c r="K686" s="1" t="s">
        <v>1744</v>
      </c>
    </row>
    <row r="687" spans="1:11" x14ac:dyDescent="0.35">
      <c r="A687" s="3" t="s">
        <v>1699</v>
      </c>
      <c r="B687" s="1" t="s">
        <v>1818</v>
      </c>
      <c r="C687" s="1" t="s">
        <v>1837</v>
      </c>
      <c r="D687" s="1" t="str">
        <f>"6115"</f>
        <v>6115</v>
      </c>
      <c r="E687" s="1" t="str">
        <f>"013491536"</f>
        <v>013491536</v>
      </c>
      <c r="F687" s="1" t="s">
        <v>1838</v>
      </c>
      <c r="G687" s="3" t="s">
        <v>15</v>
      </c>
      <c r="H687" s="3" t="str">
        <f>"1"</f>
        <v>1</v>
      </c>
      <c r="I687" s="4" t="str">
        <f>"164000"</f>
        <v>164000</v>
      </c>
      <c r="J687" s="2">
        <v>45880</v>
      </c>
      <c r="K687" s="1" t="s">
        <v>1839</v>
      </c>
    </row>
    <row r="688" spans="1:11" x14ac:dyDescent="0.35">
      <c r="A688" s="3" t="s">
        <v>1699</v>
      </c>
      <c r="B688" s="1" t="s">
        <v>1818</v>
      </c>
      <c r="C688" s="1" t="s">
        <v>1819</v>
      </c>
      <c r="D688" s="1" t="str">
        <f>"2320"</f>
        <v>2320</v>
      </c>
      <c r="E688" s="1" t="str">
        <f>"005548259"</f>
        <v>005548259</v>
      </c>
      <c r="F688" s="1" t="s">
        <v>1820</v>
      </c>
      <c r="G688" s="3" t="s">
        <v>15</v>
      </c>
      <c r="H688" s="3" t="str">
        <f>"1"</f>
        <v>1</v>
      </c>
      <c r="I688" s="4" t="str">
        <f>"116776"</f>
        <v>116776</v>
      </c>
      <c r="J688" s="2">
        <v>45877</v>
      </c>
      <c r="K688" s="1" t="s">
        <v>1821</v>
      </c>
    </row>
    <row r="689" spans="1:11" x14ac:dyDescent="0.35">
      <c r="A689" s="3" t="s">
        <v>1699</v>
      </c>
      <c r="B689" s="1" t="s">
        <v>1795</v>
      </c>
      <c r="C689" s="1" t="s">
        <v>1798</v>
      </c>
      <c r="D689" s="1" t="str">
        <f>"2320"</f>
        <v>2320</v>
      </c>
      <c r="E689" s="1" t="str">
        <f>"007529812"</f>
        <v>007529812</v>
      </c>
      <c r="F689" s="1" t="s">
        <v>1799</v>
      </c>
      <c r="G689" s="3" t="s">
        <v>15</v>
      </c>
      <c r="H689" s="3" t="str">
        <f>"1"</f>
        <v>1</v>
      </c>
      <c r="I689" s="4" t="str">
        <f>"21046"</f>
        <v>21046</v>
      </c>
      <c r="J689" s="2">
        <v>45876</v>
      </c>
      <c r="K689" s="1" t="s">
        <v>1800</v>
      </c>
    </row>
    <row r="690" spans="1:11" x14ac:dyDescent="0.35">
      <c r="A690" s="3" t="s">
        <v>1699</v>
      </c>
      <c r="B690" s="1" t="s">
        <v>1795</v>
      </c>
      <c r="C690" s="1" t="s">
        <v>1801</v>
      </c>
      <c r="D690" s="1" t="str">
        <f>"7010"</f>
        <v>7010</v>
      </c>
      <c r="E690" s="1" t="s">
        <v>364</v>
      </c>
      <c r="F690" s="1" t="s">
        <v>365</v>
      </c>
      <c r="G690" s="3" t="s">
        <v>15</v>
      </c>
      <c r="H690" s="3" t="str">
        <f>"8"</f>
        <v>8</v>
      </c>
      <c r="I690" s="4" t="str">
        <f>"150"</f>
        <v>150</v>
      </c>
      <c r="J690" s="2">
        <v>45876</v>
      </c>
      <c r="K690" s="1" t="s">
        <v>1802</v>
      </c>
    </row>
    <row r="691" spans="1:11" x14ac:dyDescent="0.35">
      <c r="A691" s="3" t="s">
        <v>1699</v>
      </c>
      <c r="B691" s="1" t="s">
        <v>1818</v>
      </c>
      <c r="C691" s="1" t="s">
        <v>1829</v>
      </c>
      <c r="D691" s="1" t="str">
        <f>"2920"</f>
        <v>2920</v>
      </c>
      <c r="E691" s="1" t="s">
        <v>142</v>
      </c>
      <c r="F691" s="1" t="s">
        <v>143</v>
      </c>
      <c r="G691" s="3" t="s">
        <v>15</v>
      </c>
      <c r="H691" s="3" t="str">
        <f>"1"</f>
        <v>1</v>
      </c>
      <c r="I691" s="4" t="str">
        <f>"50650"</f>
        <v>50650</v>
      </c>
      <c r="J691" s="2">
        <v>45876</v>
      </c>
      <c r="K691" s="1" t="s">
        <v>1830</v>
      </c>
    </row>
    <row r="692" spans="1:11" x14ac:dyDescent="0.35">
      <c r="A692" s="3" t="s">
        <v>1699</v>
      </c>
      <c r="B692" s="1" t="s">
        <v>1764</v>
      </c>
      <c r="C692" s="1" t="s">
        <v>1765</v>
      </c>
      <c r="D692" s="1" t="str">
        <f>"5120"</f>
        <v>5120</v>
      </c>
      <c r="E692" s="1" t="str">
        <f>"001694586"</f>
        <v>001694586</v>
      </c>
      <c r="F692" s="1" t="s">
        <v>1766</v>
      </c>
      <c r="G692" s="3" t="s">
        <v>58</v>
      </c>
      <c r="H692" s="3" t="str">
        <f>"2"</f>
        <v>2</v>
      </c>
      <c r="I692" s="4">
        <v>431.28</v>
      </c>
      <c r="J692" s="2">
        <v>45875</v>
      </c>
      <c r="K692" s="1" t="s">
        <v>1767</v>
      </c>
    </row>
    <row r="693" spans="1:11" x14ac:dyDescent="0.35">
      <c r="A693" s="3" t="s">
        <v>1699</v>
      </c>
      <c r="B693" s="1" t="s">
        <v>1764</v>
      </c>
      <c r="C693" s="1" t="s">
        <v>1768</v>
      </c>
      <c r="D693" s="1" t="str">
        <f>"5120"</f>
        <v>5120</v>
      </c>
      <c r="E693" s="1" t="str">
        <f>"002041999"</f>
        <v>002041999</v>
      </c>
      <c r="F693" s="1" t="s">
        <v>1163</v>
      </c>
      <c r="G693" s="3" t="s">
        <v>58</v>
      </c>
      <c r="H693" s="3" t="str">
        <f>"2"</f>
        <v>2</v>
      </c>
      <c r="I693" s="4">
        <v>818.4</v>
      </c>
      <c r="J693" s="2">
        <v>45875</v>
      </c>
      <c r="K693" s="1" t="s">
        <v>1767</v>
      </c>
    </row>
    <row r="694" spans="1:11" x14ac:dyDescent="0.35">
      <c r="A694" s="3" t="s">
        <v>1699</v>
      </c>
      <c r="B694" s="1" t="s">
        <v>1764</v>
      </c>
      <c r="C694" s="1" t="s">
        <v>1769</v>
      </c>
      <c r="D694" s="1" t="str">
        <f>"5180"</f>
        <v>5180</v>
      </c>
      <c r="E694" s="1" t="str">
        <f>"014830249"</f>
        <v>014830249</v>
      </c>
      <c r="F694" s="1" t="s">
        <v>220</v>
      </c>
      <c r="G694" s="3" t="s">
        <v>58</v>
      </c>
      <c r="H694" s="3" t="str">
        <f>"4"</f>
        <v>4</v>
      </c>
      <c r="I694" s="4" t="str">
        <f>"1780"</f>
        <v>1780</v>
      </c>
      <c r="J694" s="2">
        <v>45875</v>
      </c>
      <c r="K694" s="1" t="s">
        <v>1770</v>
      </c>
    </row>
    <row r="695" spans="1:11" x14ac:dyDescent="0.35">
      <c r="A695" s="3" t="s">
        <v>1699</v>
      </c>
      <c r="B695" s="1" t="s">
        <v>1818</v>
      </c>
      <c r="C695" s="1" t="s">
        <v>1840</v>
      </c>
      <c r="D695" s="1" t="str">
        <f>"6115"</f>
        <v>6115</v>
      </c>
      <c r="E695" s="1" t="str">
        <f>"013491536"</f>
        <v>013491536</v>
      </c>
      <c r="F695" s="1" t="s">
        <v>1838</v>
      </c>
      <c r="G695" s="3" t="s">
        <v>15</v>
      </c>
      <c r="H695" s="3" t="str">
        <f>"1"</f>
        <v>1</v>
      </c>
      <c r="I695" s="4" t="str">
        <f>"164000"</f>
        <v>164000</v>
      </c>
      <c r="J695" s="2">
        <v>45875</v>
      </c>
      <c r="K695" s="1" t="s">
        <v>1841</v>
      </c>
    </row>
    <row r="696" spans="1:11" x14ac:dyDescent="0.35">
      <c r="A696" s="3" t="s">
        <v>1699</v>
      </c>
      <c r="B696" s="1" t="s">
        <v>1818</v>
      </c>
      <c r="C696" s="1" t="s">
        <v>1842</v>
      </c>
      <c r="D696" s="1" t="str">
        <f>"6115"</f>
        <v>6115</v>
      </c>
      <c r="E696" s="1" t="str">
        <f>"013491536"</f>
        <v>013491536</v>
      </c>
      <c r="F696" s="1" t="s">
        <v>1838</v>
      </c>
      <c r="G696" s="3" t="s">
        <v>15</v>
      </c>
      <c r="H696" s="3" t="str">
        <f>"1"</f>
        <v>1</v>
      </c>
      <c r="I696" s="4" t="str">
        <f>"164000"</f>
        <v>164000</v>
      </c>
      <c r="J696" s="2">
        <v>45875</v>
      </c>
      <c r="K696" s="1" t="s">
        <v>1843</v>
      </c>
    </row>
    <row r="697" spans="1:11" x14ac:dyDescent="0.35">
      <c r="A697" s="3" t="s">
        <v>1699</v>
      </c>
      <c r="B697" s="1" t="s">
        <v>1795</v>
      </c>
      <c r="C697" s="1" t="s">
        <v>1803</v>
      </c>
      <c r="D697" s="1" t="str">
        <f>"7025"</f>
        <v>7025</v>
      </c>
      <c r="E697" s="1" t="str">
        <f>"016229697"</f>
        <v>016229697</v>
      </c>
      <c r="F697" s="1" t="s">
        <v>729</v>
      </c>
      <c r="G697" s="3" t="s">
        <v>15</v>
      </c>
      <c r="H697" s="3" t="str">
        <f>"2"</f>
        <v>2</v>
      </c>
      <c r="I697" s="4">
        <v>2448.12</v>
      </c>
      <c r="J697" s="2">
        <v>45874</v>
      </c>
      <c r="K697" s="1" t="s">
        <v>1804</v>
      </c>
    </row>
    <row r="698" spans="1:11" x14ac:dyDescent="0.35">
      <c r="A698" s="3" t="s">
        <v>1699</v>
      </c>
      <c r="B698" s="1" t="s">
        <v>1795</v>
      </c>
      <c r="C698" s="1" t="s">
        <v>1805</v>
      </c>
      <c r="D698" s="1" t="str">
        <f>"7025"</f>
        <v>7025</v>
      </c>
      <c r="E698" s="1" t="s">
        <v>594</v>
      </c>
      <c r="F698" s="1" t="s">
        <v>595</v>
      </c>
      <c r="G698" s="3" t="s">
        <v>15</v>
      </c>
      <c r="H698" s="3" t="str">
        <f>"1"</f>
        <v>1</v>
      </c>
      <c r="I698" s="4" t="str">
        <f>"1000"</f>
        <v>1000</v>
      </c>
      <c r="J698" s="2">
        <v>45874</v>
      </c>
      <c r="K698" s="1" t="s">
        <v>1806</v>
      </c>
    </row>
    <row r="699" spans="1:11" x14ac:dyDescent="0.35">
      <c r="A699" s="3" t="s">
        <v>1699</v>
      </c>
      <c r="B699" s="1" t="s">
        <v>1807</v>
      </c>
      <c r="C699" s="1" t="s">
        <v>1808</v>
      </c>
      <c r="D699" s="1" t="str">
        <f>"2320"</f>
        <v>2320</v>
      </c>
      <c r="E699" s="1" t="str">
        <f>"011644815"</f>
        <v>011644815</v>
      </c>
      <c r="F699" s="1" t="s">
        <v>373</v>
      </c>
      <c r="G699" s="3" t="s">
        <v>15</v>
      </c>
      <c r="H699" s="3" t="str">
        <f>"1"</f>
        <v>1</v>
      </c>
      <c r="I699" s="4" t="str">
        <f>"5000"</f>
        <v>5000</v>
      </c>
      <c r="J699" s="2">
        <v>45874</v>
      </c>
      <c r="K699" s="1" t="s">
        <v>1809</v>
      </c>
    </row>
    <row r="700" spans="1:11" x14ac:dyDescent="0.35">
      <c r="A700" s="3" t="s">
        <v>1699</v>
      </c>
      <c r="B700" s="1" t="s">
        <v>1764</v>
      </c>
      <c r="C700" s="1" t="s">
        <v>1774</v>
      </c>
      <c r="D700" s="1" t="str">
        <f>"6115"</f>
        <v>6115</v>
      </c>
      <c r="E700" s="1" t="str">
        <f>"013068342"</f>
        <v>013068342</v>
      </c>
      <c r="F700" s="1" t="s">
        <v>1775</v>
      </c>
      <c r="G700" s="3" t="s">
        <v>15</v>
      </c>
      <c r="H700" s="3" t="str">
        <f>"1"</f>
        <v>1</v>
      </c>
      <c r="I700" s="4" t="str">
        <f>"257500"</f>
        <v>257500</v>
      </c>
      <c r="J700" s="2">
        <v>45868</v>
      </c>
      <c r="K700" s="1" t="s">
        <v>1776</v>
      </c>
    </row>
    <row r="701" spans="1:11" x14ac:dyDescent="0.35">
      <c r="A701" s="3" t="s">
        <v>1699</v>
      </c>
      <c r="B701" s="1" t="s">
        <v>1785</v>
      </c>
      <c r="C701" s="1" t="s">
        <v>1786</v>
      </c>
      <c r="D701" s="1" t="str">
        <f>"4240"</f>
        <v>4240</v>
      </c>
      <c r="E701" s="1" t="str">
        <f>"005744098"</f>
        <v>005744098</v>
      </c>
      <c r="F701" s="1" t="s">
        <v>1787</v>
      </c>
      <c r="G701" s="3" t="s">
        <v>15</v>
      </c>
      <c r="H701" s="3" t="str">
        <f>"1"</f>
        <v>1</v>
      </c>
      <c r="I701" s="4" t="str">
        <f>"4286"</f>
        <v>4286</v>
      </c>
      <c r="J701" s="2">
        <v>45860</v>
      </c>
      <c r="K701" s="1" t="s">
        <v>1788</v>
      </c>
    </row>
    <row r="702" spans="1:11" x14ac:dyDescent="0.35">
      <c r="A702" s="3" t="s">
        <v>1699</v>
      </c>
      <c r="B702" s="1" t="s">
        <v>1785</v>
      </c>
      <c r="C702" s="1" t="s">
        <v>1789</v>
      </c>
      <c r="D702" s="1" t="str">
        <f>"6515"</f>
        <v>6515</v>
      </c>
      <c r="E702" s="1" t="s">
        <v>249</v>
      </c>
      <c r="F702" s="1" t="s">
        <v>250</v>
      </c>
      <c r="G702" s="3" t="s">
        <v>15</v>
      </c>
      <c r="H702" s="3" t="str">
        <f>"2"</f>
        <v>2</v>
      </c>
      <c r="I702" s="4" t="str">
        <f>"3075"</f>
        <v>3075</v>
      </c>
      <c r="J702" s="2">
        <v>45860</v>
      </c>
      <c r="K702" s="1" t="s">
        <v>1790</v>
      </c>
    </row>
    <row r="703" spans="1:11" x14ac:dyDescent="0.35">
      <c r="A703" s="3" t="s">
        <v>1699</v>
      </c>
      <c r="B703" s="1" t="s">
        <v>1815</v>
      </c>
      <c r="C703" s="1" t="s">
        <v>1816</v>
      </c>
      <c r="D703" s="1" t="str">
        <f>"2340"</f>
        <v>2340</v>
      </c>
      <c r="E703" s="1" t="s">
        <v>278</v>
      </c>
      <c r="F703" s="1" t="s">
        <v>279</v>
      </c>
      <c r="G703" s="3" t="s">
        <v>15</v>
      </c>
      <c r="H703" s="3" t="str">
        <f>"1"</f>
        <v>1</v>
      </c>
      <c r="I703" s="4">
        <v>12315.66</v>
      </c>
      <c r="J703" s="2">
        <v>45852</v>
      </c>
      <c r="K703" s="1" t="s">
        <v>1817</v>
      </c>
    </row>
    <row r="704" spans="1:11" x14ac:dyDescent="0.35">
      <c r="A704" s="3" t="s">
        <v>1699</v>
      </c>
      <c r="B704" s="1" t="s">
        <v>1818</v>
      </c>
      <c r="C704" s="1" t="s">
        <v>1831</v>
      </c>
      <c r="D704" s="1" t="str">
        <f>"3930"</f>
        <v>3930</v>
      </c>
      <c r="E704" s="1" t="s">
        <v>1706</v>
      </c>
      <c r="F704" s="1" t="s">
        <v>1707</v>
      </c>
      <c r="G704" s="3" t="s">
        <v>15</v>
      </c>
      <c r="H704" s="3" t="str">
        <f>"1"</f>
        <v>1</v>
      </c>
      <c r="I704" s="4" t="str">
        <f>"40000"</f>
        <v>40000</v>
      </c>
      <c r="J704" s="2">
        <v>45849</v>
      </c>
      <c r="K704" s="1" t="s">
        <v>1832</v>
      </c>
    </row>
    <row r="705" spans="1:11" x14ac:dyDescent="0.35">
      <c r="A705" s="3" t="s">
        <v>1699</v>
      </c>
      <c r="B705" s="1" t="s">
        <v>1700</v>
      </c>
      <c r="C705" s="1" t="s">
        <v>1701</v>
      </c>
      <c r="D705" s="1" t="str">
        <f>"7025"</f>
        <v>7025</v>
      </c>
      <c r="E705" s="1" t="str">
        <f>"015780917"</f>
        <v>015780917</v>
      </c>
      <c r="F705" s="1" t="s">
        <v>1702</v>
      </c>
      <c r="G705" s="3" t="s">
        <v>15</v>
      </c>
      <c r="H705" s="3" t="str">
        <f>"2"</f>
        <v>2</v>
      </c>
      <c r="I705" s="4" t="str">
        <f>"1573"</f>
        <v>1573</v>
      </c>
      <c r="J705" s="2">
        <v>45847</v>
      </c>
      <c r="K705" s="1" t="s">
        <v>1703</v>
      </c>
    </row>
    <row r="706" spans="1:11" x14ac:dyDescent="0.35">
      <c r="A706" s="3" t="s">
        <v>1699</v>
      </c>
      <c r="B706" s="1" t="s">
        <v>1704</v>
      </c>
      <c r="C706" s="1" t="s">
        <v>1705</v>
      </c>
      <c r="D706" s="1" t="str">
        <f>"3930"</f>
        <v>3930</v>
      </c>
      <c r="E706" s="1" t="s">
        <v>1706</v>
      </c>
      <c r="F706" s="1" t="s">
        <v>1707</v>
      </c>
      <c r="G706" s="3" t="s">
        <v>15</v>
      </c>
      <c r="H706" s="3" t="str">
        <f>"1"</f>
        <v>1</v>
      </c>
      <c r="I706" s="4">
        <v>17192.259999999998</v>
      </c>
      <c r="J706" s="2">
        <v>45847</v>
      </c>
      <c r="K706" s="1" t="s">
        <v>1708</v>
      </c>
    </row>
    <row r="707" spans="1:11" x14ac:dyDescent="0.35">
      <c r="A707" s="3" t="s">
        <v>1699</v>
      </c>
      <c r="B707" s="1" t="s">
        <v>1704</v>
      </c>
      <c r="C707" s="1" t="s">
        <v>1714</v>
      </c>
      <c r="D707" s="1" t="str">
        <f>"6545"</f>
        <v>6545</v>
      </c>
      <c r="E707" s="1" t="str">
        <f>"015324962"</f>
        <v>015324962</v>
      </c>
      <c r="F707" s="1" t="s">
        <v>32</v>
      </c>
      <c r="G707" s="3" t="s">
        <v>19</v>
      </c>
      <c r="H707" s="3" t="str">
        <f>"4"</f>
        <v>4</v>
      </c>
      <c r="I707" s="4">
        <v>1868.26</v>
      </c>
      <c r="J707" s="2">
        <v>45847</v>
      </c>
      <c r="K707" s="1" t="s">
        <v>1715</v>
      </c>
    </row>
    <row r="708" spans="1:11" x14ac:dyDescent="0.35">
      <c r="A708" s="3" t="s">
        <v>1699</v>
      </c>
      <c r="B708" s="1" t="s">
        <v>1704</v>
      </c>
      <c r="C708" s="1" t="s">
        <v>1716</v>
      </c>
      <c r="D708" s="1" t="str">
        <f>"8465"</f>
        <v>8465</v>
      </c>
      <c r="E708" s="1" t="str">
        <f>"015472706"</f>
        <v>015472706</v>
      </c>
      <c r="F708" s="1" t="s">
        <v>854</v>
      </c>
      <c r="G708" s="3" t="s">
        <v>15</v>
      </c>
      <c r="H708" s="3" t="str">
        <f>"3"</f>
        <v>3</v>
      </c>
      <c r="I708" s="4">
        <v>68.84</v>
      </c>
      <c r="J708" s="2">
        <v>45847</v>
      </c>
      <c r="K708" s="1" t="s">
        <v>1717</v>
      </c>
    </row>
    <row r="709" spans="1:11" x14ac:dyDescent="0.35">
      <c r="A709" s="3" t="s">
        <v>1699</v>
      </c>
      <c r="B709" s="1" t="s">
        <v>1704</v>
      </c>
      <c r="C709" s="1" t="s">
        <v>1718</v>
      </c>
      <c r="D709" s="1" t="str">
        <f>"8465"</f>
        <v>8465</v>
      </c>
      <c r="E709" s="1" t="str">
        <f>"013980685"</f>
        <v>013980685</v>
      </c>
      <c r="F709" s="1" t="s">
        <v>854</v>
      </c>
      <c r="G709" s="3" t="s">
        <v>15</v>
      </c>
      <c r="H709" s="3" t="str">
        <f>"3"</f>
        <v>3</v>
      </c>
      <c r="I709" s="4">
        <v>47.26</v>
      </c>
      <c r="J709" s="2">
        <v>45847</v>
      </c>
      <c r="K709" s="1" t="s">
        <v>1717</v>
      </c>
    </row>
    <row r="710" spans="1:11" x14ac:dyDescent="0.35">
      <c r="A710" s="3" t="s">
        <v>1699</v>
      </c>
      <c r="B710" s="1" t="s">
        <v>1704</v>
      </c>
      <c r="C710" s="1" t="s">
        <v>1719</v>
      </c>
      <c r="D710" s="1" t="str">
        <f>"8465"</f>
        <v>8465</v>
      </c>
      <c r="E710" s="1" t="str">
        <f>"013980687"</f>
        <v>013980687</v>
      </c>
      <c r="F710" s="1" t="s">
        <v>854</v>
      </c>
      <c r="G710" s="3" t="s">
        <v>15</v>
      </c>
      <c r="H710" s="3" t="str">
        <f>"3"</f>
        <v>3</v>
      </c>
      <c r="I710" s="4">
        <v>65.8</v>
      </c>
      <c r="J710" s="2">
        <v>45847</v>
      </c>
      <c r="K710" s="1" t="s">
        <v>1717</v>
      </c>
    </row>
    <row r="711" spans="1:11" x14ac:dyDescent="0.35">
      <c r="A711" s="3" t="s">
        <v>1699</v>
      </c>
      <c r="B711" s="1" t="s">
        <v>1704</v>
      </c>
      <c r="C711" s="1" t="s">
        <v>1720</v>
      </c>
      <c r="D711" s="1" t="str">
        <f>"8465"</f>
        <v>8465</v>
      </c>
      <c r="E711" s="1" t="str">
        <f>"016046541"</f>
        <v>016046541</v>
      </c>
      <c r="F711" s="1" t="s">
        <v>975</v>
      </c>
      <c r="G711" s="3" t="s">
        <v>15</v>
      </c>
      <c r="H711" s="3" t="str">
        <f>"12"</f>
        <v>12</v>
      </c>
      <c r="I711" s="4">
        <v>41.87</v>
      </c>
      <c r="J711" s="2">
        <v>45847</v>
      </c>
      <c r="K711" s="1" t="s">
        <v>1721</v>
      </c>
    </row>
    <row r="712" spans="1:11" x14ac:dyDescent="0.35">
      <c r="A712" s="3" t="s">
        <v>1699</v>
      </c>
      <c r="B712" s="1" t="s">
        <v>1704</v>
      </c>
      <c r="C712" s="1" t="s">
        <v>1722</v>
      </c>
      <c r="D712" s="1" t="str">
        <f>"8465"</f>
        <v>8465</v>
      </c>
      <c r="E712" s="1" t="str">
        <f>"013985428"</f>
        <v>013985428</v>
      </c>
      <c r="F712" s="1" t="s">
        <v>1723</v>
      </c>
      <c r="G712" s="3" t="s">
        <v>15</v>
      </c>
      <c r="H712" s="3" t="str">
        <f>"4"</f>
        <v>4</v>
      </c>
      <c r="I712" s="4">
        <v>16.239999999999998</v>
      </c>
      <c r="J712" s="2">
        <v>45847</v>
      </c>
      <c r="K712" s="1" t="s">
        <v>1724</v>
      </c>
    </row>
    <row r="713" spans="1:11" x14ac:dyDescent="0.35">
      <c r="A713" s="3" t="s">
        <v>1699</v>
      </c>
      <c r="B713" s="1" t="s">
        <v>1704</v>
      </c>
      <c r="C713" s="1" t="s">
        <v>1725</v>
      </c>
      <c r="D713" s="1" t="str">
        <f>"8465"</f>
        <v>8465</v>
      </c>
      <c r="E713" s="1" t="str">
        <f>"013980685"</f>
        <v>013980685</v>
      </c>
      <c r="F713" s="1" t="s">
        <v>854</v>
      </c>
      <c r="G713" s="3" t="s">
        <v>15</v>
      </c>
      <c r="H713" s="3" t="str">
        <f>"2"</f>
        <v>2</v>
      </c>
      <c r="I713" s="4">
        <v>47.26</v>
      </c>
      <c r="J713" s="2">
        <v>45847</v>
      </c>
      <c r="K713" s="1" t="s">
        <v>1717</v>
      </c>
    </row>
    <row r="714" spans="1:11" x14ac:dyDescent="0.35">
      <c r="A714" s="3" t="s">
        <v>1699</v>
      </c>
      <c r="B714" s="1" t="s">
        <v>1750</v>
      </c>
      <c r="C714" s="1" t="s">
        <v>1755</v>
      </c>
      <c r="D714" s="1" t="str">
        <f>"4240"</f>
        <v>4240</v>
      </c>
      <c r="E714" s="1" t="str">
        <f>"015274051"</f>
        <v>015274051</v>
      </c>
      <c r="F714" s="1" t="s">
        <v>1756</v>
      </c>
      <c r="G714" s="3" t="s">
        <v>15</v>
      </c>
      <c r="H714" s="3" t="str">
        <f>"33"</f>
        <v>33</v>
      </c>
      <c r="I714" s="4">
        <v>45.71</v>
      </c>
      <c r="J714" s="2">
        <v>45841</v>
      </c>
      <c r="K714" s="1" t="s">
        <v>1757</v>
      </c>
    </row>
    <row r="715" spans="1:11" x14ac:dyDescent="0.35">
      <c r="A715" s="3" t="s">
        <v>1699</v>
      </c>
      <c r="B715" s="1" t="s">
        <v>1750</v>
      </c>
      <c r="C715" s="1" t="s">
        <v>1758</v>
      </c>
      <c r="D715" s="1" t="str">
        <f>"6545"</f>
        <v>6545</v>
      </c>
      <c r="E715" s="1" t="str">
        <f>"015300929"</f>
        <v>015300929</v>
      </c>
      <c r="F715" s="1" t="s">
        <v>293</v>
      </c>
      <c r="G715" s="3" t="s">
        <v>19</v>
      </c>
      <c r="H715" s="3" t="str">
        <f>"10"</f>
        <v>10</v>
      </c>
      <c r="I715" s="4">
        <v>62.81</v>
      </c>
      <c r="J715" s="2">
        <v>45841</v>
      </c>
      <c r="K715" s="1" t="s">
        <v>1759</v>
      </c>
    </row>
    <row r="716" spans="1:11" x14ac:dyDescent="0.35">
      <c r="A716" s="3" t="s">
        <v>1844</v>
      </c>
      <c r="B716" s="1" t="s">
        <v>1845</v>
      </c>
      <c r="C716" s="1" t="s">
        <v>1846</v>
      </c>
      <c r="D716" s="1" t="str">
        <f>"2320"</f>
        <v>2320</v>
      </c>
      <c r="E716" s="1" t="str">
        <f>"015449638"</f>
        <v>015449638</v>
      </c>
      <c r="F716" s="1" t="s">
        <v>604</v>
      </c>
      <c r="G716" s="3" t="s">
        <v>15</v>
      </c>
      <c r="H716" s="3" t="str">
        <f>"1"</f>
        <v>1</v>
      </c>
      <c r="I716" s="4" t="str">
        <f>"245544"</f>
        <v>245544</v>
      </c>
      <c r="J716" s="2">
        <v>45853</v>
      </c>
      <c r="K716" s="1" t="s">
        <v>1847</v>
      </c>
    </row>
    <row r="717" spans="1:11" x14ac:dyDescent="0.35">
      <c r="A717" s="3" t="s">
        <v>1848</v>
      </c>
      <c r="B717" s="1" t="s">
        <v>1849</v>
      </c>
      <c r="C717" s="1" t="s">
        <v>1850</v>
      </c>
      <c r="D717" s="1" t="str">
        <f>"4240"</f>
        <v>4240</v>
      </c>
      <c r="E717" s="1" t="str">
        <f>"015475933"</f>
        <v>015475933</v>
      </c>
      <c r="F717" s="1" t="s">
        <v>1851</v>
      </c>
      <c r="G717" s="3" t="s">
        <v>15</v>
      </c>
      <c r="H717" s="3" t="str">
        <f>"35"</f>
        <v>35</v>
      </c>
      <c r="I717" s="4">
        <v>81.09</v>
      </c>
      <c r="J717" s="2">
        <v>45924</v>
      </c>
      <c r="K717" s="1" t="s">
        <v>1852</v>
      </c>
    </row>
    <row r="718" spans="1:11" x14ac:dyDescent="0.35">
      <c r="A718" s="3" t="s">
        <v>1848</v>
      </c>
      <c r="B718" s="1" t="s">
        <v>1849</v>
      </c>
      <c r="C718" s="1" t="s">
        <v>1853</v>
      </c>
      <c r="D718" s="1" t="str">
        <f>"6130"</f>
        <v>6130</v>
      </c>
      <c r="E718" s="1" t="s">
        <v>1854</v>
      </c>
      <c r="F718" s="1" t="s">
        <v>1855</v>
      </c>
      <c r="G718" s="3" t="s">
        <v>15</v>
      </c>
      <c r="H718" s="3" t="str">
        <f>"2"</f>
        <v>2</v>
      </c>
      <c r="I718" s="4" t="str">
        <f>"100"</f>
        <v>100</v>
      </c>
      <c r="J718" s="2">
        <v>45918</v>
      </c>
      <c r="K718" s="1" t="s">
        <v>1856</v>
      </c>
    </row>
    <row r="719" spans="1:11" x14ac:dyDescent="0.35">
      <c r="A719" s="3" t="s">
        <v>1857</v>
      </c>
      <c r="B719" s="1" t="s">
        <v>1906</v>
      </c>
      <c r="C719" s="1" t="s">
        <v>1916</v>
      </c>
      <c r="D719" s="1" t="str">
        <f>"2340"</f>
        <v>2340</v>
      </c>
      <c r="E719" s="1" t="s">
        <v>439</v>
      </c>
      <c r="F719" s="1" t="s">
        <v>440</v>
      </c>
      <c r="G719" s="3" t="s">
        <v>15</v>
      </c>
      <c r="H719" s="3" t="str">
        <f>"1"</f>
        <v>1</v>
      </c>
      <c r="I719" s="4" t="str">
        <f>"4000"</f>
        <v>4000</v>
      </c>
      <c r="J719" s="2">
        <v>45929</v>
      </c>
      <c r="K719" s="1" t="s">
        <v>1917</v>
      </c>
    </row>
    <row r="720" spans="1:11" x14ac:dyDescent="0.35">
      <c r="A720" s="3" t="s">
        <v>1857</v>
      </c>
      <c r="B720" s="1" t="s">
        <v>1929</v>
      </c>
      <c r="C720" s="1" t="s">
        <v>1930</v>
      </c>
      <c r="D720" s="1" t="str">
        <f>"5855"</f>
        <v>5855</v>
      </c>
      <c r="E720" s="1" t="str">
        <f>"014684169"</f>
        <v>014684169</v>
      </c>
      <c r="F720" s="1" t="s">
        <v>1931</v>
      </c>
      <c r="G720" s="3" t="s">
        <v>15</v>
      </c>
      <c r="H720" s="3" t="str">
        <f>"1"</f>
        <v>1</v>
      </c>
      <c r="I720" s="4">
        <v>918.54</v>
      </c>
      <c r="J720" s="2">
        <v>45913</v>
      </c>
      <c r="K720" s="1" t="s">
        <v>1932</v>
      </c>
    </row>
    <row r="721" spans="1:11" x14ac:dyDescent="0.35">
      <c r="A721" s="3" t="s">
        <v>1857</v>
      </c>
      <c r="B721" s="1" t="s">
        <v>1929</v>
      </c>
      <c r="C721" s="1" t="s">
        <v>1933</v>
      </c>
      <c r="D721" s="1" t="str">
        <f>"5855"</f>
        <v>5855</v>
      </c>
      <c r="E721" s="1" t="str">
        <f>"014684169"</f>
        <v>014684169</v>
      </c>
      <c r="F721" s="1" t="s">
        <v>1931</v>
      </c>
      <c r="G721" s="3" t="s">
        <v>15</v>
      </c>
      <c r="H721" s="3" t="str">
        <f>"1"</f>
        <v>1</v>
      </c>
      <c r="I721" s="4">
        <v>918.54</v>
      </c>
      <c r="J721" s="2">
        <v>45913</v>
      </c>
      <c r="K721" s="1" t="s">
        <v>1932</v>
      </c>
    </row>
    <row r="722" spans="1:11" x14ac:dyDescent="0.35">
      <c r="A722" s="3" t="s">
        <v>1857</v>
      </c>
      <c r="B722" s="1" t="s">
        <v>1929</v>
      </c>
      <c r="C722" s="1" t="s">
        <v>1934</v>
      </c>
      <c r="D722" s="1" t="str">
        <f>"5855"</f>
        <v>5855</v>
      </c>
      <c r="E722" s="1" t="str">
        <f>"014684169"</f>
        <v>014684169</v>
      </c>
      <c r="F722" s="1" t="s">
        <v>1931</v>
      </c>
      <c r="G722" s="3" t="s">
        <v>15</v>
      </c>
      <c r="H722" s="3" t="str">
        <f>"1"</f>
        <v>1</v>
      </c>
      <c r="I722" s="4">
        <v>918.54</v>
      </c>
      <c r="J722" s="2">
        <v>45913</v>
      </c>
      <c r="K722" s="1" t="s">
        <v>1932</v>
      </c>
    </row>
    <row r="723" spans="1:11" x14ac:dyDescent="0.35">
      <c r="A723" s="3" t="s">
        <v>1857</v>
      </c>
      <c r="B723" s="1" t="s">
        <v>1929</v>
      </c>
      <c r="C723" s="1" t="s">
        <v>1935</v>
      </c>
      <c r="D723" s="1" t="str">
        <f>"5855"</f>
        <v>5855</v>
      </c>
      <c r="E723" s="1" t="str">
        <f>"014684169"</f>
        <v>014684169</v>
      </c>
      <c r="F723" s="1" t="s">
        <v>1931</v>
      </c>
      <c r="G723" s="3" t="s">
        <v>15</v>
      </c>
      <c r="H723" s="3" t="str">
        <f>"1"</f>
        <v>1</v>
      </c>
      <c r="I723" s="4">
        <v>918.54</v>
      </c>
      <c r="J723" s="2">
        <v>45913</v>
      </c>
      <c r="K723" s="1" t="s">
        <v>1932</v>
      </c>
    </row>
    <row r="724" spans="1:11" x14ac:dyDescent="0.35">
      <c r="A724" s="3" t="s">
        <v>1857</v>
      </c>
      <c r="B724" s="1" t="s">
        <v>1929</v>
      </c>
      <c r="C724" s="1" t="s">
        <v>1936</v>
      </c>
      <c r="D724" s="1" t="str">
        <f>"5855"</f>
        <v>5855</v>
      </c>
      <c r="E724" s="1" t="str">
        <f>"014684169"</f>
        <v>014684169</v>
      </c>
      <c r="F724" s="1" t="s">
        <v>1931</v>
      </c>
      <c r="G724" s="3" t="s">
        <v>15</v>
      </c>
      <c r="H724" s="3" t="str">
        <f>"1"</f>
        <v>1</v>
      </c>
      <c r="I724" s="4">
        <v>918.54</v>
      </c>
      <c r="J724" s="2">
        <v>45913</v>
      </c>
      <c r="K724" s="1" t="s">
        <v>1932</v>
      </c>
    </row>
    <row r="725" spans="1:11" x14ac:dyDescent="0.35">
      <c r="A725" s="3" t="s">
        <v>1857</v>
      </c>
      <c r="B725" s="1" t="s">
        <v>1929</v>
      </c>
      <c r="C725" s="1" t="s">
        <v>1937</v>
      </c>
      <c r="D725" s="1" t="str">
        <f>"5855"</f>
        <v>5855</v>
      </c>
      <c r="E725" s="1" t="str">
        <f>"014684169"</f>
        <v>014684169</v>
      </c>
      <c r="F725" s="1" t="s">
        <v>1931</v>
      </c>
      <c r="G725" s="3" t="s">
        <v>15</v>
      </c>
      <c r="H725" s="3" t="str">
        <f>"1"</f>
        <v>1</v>
      </c>
      <c r="I725" s="4">
        <v>918.54</v>
      </c>
      <c r="J725" s="2">
        <v>45913</v>
      </c>
      <c r="K725" s="1" t="s">
        <v>1932</v>
      </c>
    </row>
    <row r="726" spans="1:11" x14ac:dyDescent="0.35">
      <c r="A726" s="3" t="s">
        <v>1857</v>
      </c>
      <c r="B726" s="1" t="s">
        <v>1929</v>
      </c>
      <c r="C726" s="1" t="s">
        <v>1938</v>
      </c>
      <c r="D726" s="1" t="str">
        <f>"5855"</f>
        <v>5855</v>
      </c>
      <c r="E726" s="1" t="str">
        <f>"014684169"</f>
        <v>014684169</v>
      </c>
      <c r="F726" s="1" t="s">
        <v>1931</v>
      </c>
      <c r="G726" s="3" t="s">
        <v>15</v>
      </c>
      <c r="H726" s="3" t="str">
        <f>"1"</f>
        <v>1</v>
      </c>
      <c r="I726" s="4">
        <v>918.54</v>
      </c>
      <c r="J726" s="2">
        <v>45913</v>
      </c>
      <c r="K726" s="1" t="s">
        <v>1932</v>
      </c>
    </row>
    <row r="727" spans="1:11" x14ac:dyDescent="0.35">
      <c r="A727" s="3" t="s">
        <v>1857</v>
      </c>
      <c r="B727" s="1" t="s">
        <v>1929</v>
      </c>
      <c r="C727" s="1" t="s">
        <v>1939</v>
      </c>
      <c r="D727" s="1" t="str">
        <f>"5855"</f>
        <v>5855</v>
      </c>
      <c r="E727" s="1" t="str">
        <f>"014684169"</f>
        <v>014684169</v>
      </c>
      <c r="F727" s="1" t="s">
        <v>1931</v>
      </c>
      <c r="G727" s="3" t="s">
        <v>15</v>
      </c>
      <c r="H727" s="3" t="str">
        <f>"1"</f>
        <v>1</v>
      </c>
      <c r="I727" s="4">
        <v>918.54</v>
      </c>
      <c r="J727" s="2">
        <v>45913</v>
      </c>
      <c r="K727" s="1" t="s">
        <v>1940</v>
      </c>
    </row>
    <row r="728" spans="1:11" x14ac:dyDescent="0.35">
      <c r="A728" s="3" t="s">
        <v>1857</v>
      </c>
      <c r="B728" s="1" t="s">
        <v>1929</v>
      </c>
      <c r="C728" s="1" t="s">
        <v>1941</v>
      </c>
      <c r="D728" s="1" t="str">
        <f>"5855"</f>
        <v>5855</v>
      </c>
      <c r="E728" s="1" t="str">
        <f>"014778738"</f>
        <v>014778738</v>
      </c>
      <c r="F728" s="1" t="s">
        <v>1942</v>
      </c>
      <c r="G728" s="3" t="s">
        <v>15</v>
      </c>
      <c r="H728" s="3" t="str">
        <f>"12"</f>
        <v>12</v>
      </c>
      <c r="I728" s="4" t="str">
        <f>"7830"</f>
        <v>7830</v>
      </c>
      <c r="J728" s="2">
        <v>45913</v>
      </c>
      <c r="K728" s="1" t="s">
        <v>1943</v>
      </c>
    </row>
    <row r="729" spans="1:11" x14ac:dyDescent="0.35">
      <c r="A729" s="3" t="s">
        <v>1857</v>
      </c>
      <c r="B729" s="1" t="s">
        <v>1918</v>
      </c>
      <c r="C729" s="1" t="s">
        <v>1919</v>
      </c>
      <c r="D729" s="1" t="str">
        <f>"1005"</f>
        <v>1005</v>
      </c>
      <c r="E729" s="1" t="str">
        <f>"014715456"</f>
        <v>014715456</v>
      </c>
      <c r="F729" s="1" t="s">
        <v>1920</v>
      </c>
      <c r="G729" s="3" t="s">
        <v>15</v>
      </c>
      <c r="H729" s="3" t="str">
        <f>"3"</f>
        <v>3</v>
      </c>
      <c r="I729" s="4">
        <v>315.39999999999998</v>
      </c>
      <c r="J729" s="2">
        <v>45911</v>
      </c>
      <c r="K729" s="1" t="s">
        <v>1921</v>
      </c>
    </row>
    <row r="730" spans="1:11" x14ac:dyDescent="0.35">
      <c r="A730" s="3" t="s">
        <v>1857</v>
      </c>
      <c r="B730" s="1" t="s">
        <v>1906</v>
      </c>
      <c r="C730" s="1" t="s">
        <v>1907</v>
      </c>
      <c r="D730" s="1" t="str">
        <f>"2340"</f>
        <v>2340</v>
      </c>
      <c r="E730" s="1" t="s">
        <v>694</v>
      </c>
      <c r="F730" s="1" t="s">
        <v>695</v>
      </c>
      <c r="G730" s="3" t="s">
        <v>15</v>
      </c>
      <c r="H730" s="3" t="str">
        <f>"1"</f>
        <v>1</v>
      </c>
      <c r="I730" s="4" t="str">
        <f>"5000"</f>
        <v>5000</v>
      </c>
      <c r="J730" s="2">
        <v>45909</v>
      </c>
      <c r="K730" s="1" t="s">
        <v>1908</v>
      </c>
    </row>
    <row r="731" spans="1:11" x14ac:dyDescent="0.35">
      <c r="A731" s="3" t="s">
        <v>1857</v>
      </c>
      <c r="B731" s="1" t="s">
        <v>1906</v>
      </c>
      <c r="C731" s="1" t="s">
        <v>1909</v>
      </c>
      <c r="D731" s="1" t="str">
        <f>"2340"</f>
        <v>2340</v>
      </c>
      <c r="E731" s="1" t="s">
        <v>694</v>
      </c>
      <c r="F731" s="1" t="s">
        <v>695</v>
      </c>
      <c r="G731" s="3" t="s">
        <v>15</v>
      </c>
      <c r="H731" s="3" t="str">
        <f>"1"</f>
        <v>1</v>
      </c>
      <c r="I731" s="4" t="str">
        <f>"5000"</f>
        <v>5000</v>
      </c>
      <c r="J731" s="2">
        <v>45909</v>
      </c>
      <c r="K731" s="1" t="s">
        <v>1908</v>
      </c>
    </row>
    <row r="732" spans="1:11" x14ac:dyDescent="0.35">
      <c r="A732" s="3" t="s">
        <v>1857</v>
      </c>
      <c r="B732" s="1" t="s">
        <v>1906</v>
      </c>
      <c r="C732" s="1" t="s">
        <v>1910</v>
      </c>
      <c r="D732" s="1" t="str">
        <f>"2340"</f>
        <v>2340</v>
      </c>
      <c r="E732" s="1" t="s">
        <v>694</v>
      </c>
      <c r="F732" s="1" t="s">
        <v>695</v>
      </c>
      <c r="G732" s="3" t="s">
        <v>15</v>
      </c>
      <c r="H732" s="3" t="str">
        <f>"1"</f>
        <v>1</v>
      </c>
      <c r="I732" s="4" t="str">
        <f>"5000"</f>
        <v>5000</v>
      </c>
      <c r="J732" s="2">
        <v>45909</v>
      </c>
      <c r="K732" s="1" t="s">
        <v>1908</v>
      </c>
    </row>
    <row r="733" spans="1:11" x14ac:dyDescent="0.35">
      <c r="A733" s="3" t="s">
        <v>1857</v>
      </c>
      <c r="B733" s="1" t="s">
        <v>1906</v>
      </c>
      <c r="C733" s="1" t="s">
        <v>1911</v>
      </c>
      <c r="D733" s="1" t="str">
        <f>"2340"</f>
        <v>2340</v>
      </c>
      <c r="E733" s="1" t="s">
        <v>694</v>
      </c>
      <c r="F733" s="1" t="s">
        <v>695</v>
      </c>
      <c r="G733" s="3" t="s">
        <v>15</v>
      </c>
      <c r="H733" s="3" t="str">
        <f>"1"</f>
        <v>1</v>
      </c>
      <c r="I733" s="4" t="str">
        <f>"5000"</f>
        <v>5000</v>
      </c>
      <c r="J733" s="2">
        <v>45909</v>
      </c>
      <c r="K733" s="1" t="s">
        <v>1908</v>
      </c>
    </row>
    <row r="734" spans="1:11" x14ac:dyDescent="0.35">
      <c r="A734" s="3" t="s">
        <v>1857</v>
      </c>
      <c r="B734" s="1" t="s">
        <v>1906</v>
      </c>
      <c r="C734" s="1" t="s">
        <v>1914</v>
      </c>
      <c r="D734" s="1" t="str">
        <f>"2340"</f>
        <v>2340</v>
      </c>
      <c r="E734" s="1" t="s">
        <v>694</v>
      </c>
      <c r="F734" s="1" t="s">
        <v>695</v>
      </c>
      <c r="G734" s="3" t="s">
        <v>15</v>
      </c>
      <c r="H734" s="3" t="str">
        <f>"1"</f>
        <v>1</v>
      </c>
      <c r="I734" s="4" t="str">
        <f>"5000"</f>
        <v>5000</v>
      </c>
      <c r="J734" s="2">
        <v>45909</v>
      </c>
      <c r="K734" s="1" t="s">
        <v>1908</v>
      </c>
    </row>
    <row r="735" spans="1:11" x14ac:dyDescent="0.35">
      <c r="A735" s="3" t="s">
        <v>1857</v>
      </c>
      <c r="B735" s="1" t="s">
        <v>1906</v>
      </c>
      <c r="C735" s="1" t="s">
        <v>1915</v>
      </c>
      <c r="D735" s="1" t="str">
        <f>"2340"</f>
        <v>2340</v>
      </c>
      <c r="E735" s="1" t="s">
        <v>694</v>
      </c>
      <c r="F735" s="1" t="s">
        <v>695</v>
      </c>
      <c r="G735" s="3" t="s">
        <v>15</v>
      </c>
      <c r="H735" s="3" t="str">
        <f>"1"</f>
        <v>1</v>
      </c>
      <c r="I735" s="4" t="str">
        <f>"5000"</f>
        <v>5000</v>
      </c>
      <c r="J735" s="2">
        <v>45909</v>
      </c>
      <c r="K735" s="1" t="s">
        <v>1908</v>
      </c>
    </row>
    <row r="736" spans="1:11" x14ac:dyDescent="0.35">
      <c r="A736" s="3" t="s">
        <v>1857</v>
      </c>
      <c r="B736" s="1" t="s">
        <v>1869</v>
      </c>
      <c r="C736" s="1" t="s">
        <v>1887</v>
      </c>
      <c r="D736" s="1" t="str">
        <f>"6730"</f>
        <v>6730</v>
      </c>
      <c r="E736" s="1" t="s">
        <v>1761</v>
      </c>
      <c r="F736" s="1" t="s">
        <v>1762</v>
      </c>
      <c r="G736" s="3" t="s">
        <v>15</v>
      </c>
      <c r="H736" s="3" t="str">
        <f>"3"</f>
        <v>3</v>
      </c>
      <c r="I736" s="4">
        <v>14393.75</v>
      </c>
      <c r="J736" s="2">
        <v>45905</v>
      </c>
      <c r="K736" s="1" t="s">
        <v>1888</v>
      </c>
    </row>
    <row r="737" spans="1:11" x14ac:dyDescent="0.35">
      <c r="A737" s="3" t="s">
        <v>1857</v>
      </c>
      <c r="B737" s="1" t="s">
        <v>1922</v>
      </c>
      <c r="C737" s="1" t="s">
        <v>1925</v>
      </c>
      <c r="D737" s="1" t="str">
        <f>"5855"</f>
        <v>5855</v>
      </c>
      <c r="E737" s="1" t="s">
        <v>1926</v>
      </c>
      <c r="F737" s="1" t="s">
        <v>1927</v>
      </c>
      <c r="G737" s="3" t="s">
        <v>15</v>
      </c>
      <c r="H737" s="3" t="str">
        <f>"1"</f>
        <v>1</v>
      </c>
      <c r="I737" s="4" t="str">
        <f>"15000"</f>
        <v>15000</v>
      </c>
      <c r="J737" s="2">
        <v>45881</v>
      </c>
      <c r="K737" s="1" t="s">
        <v>1928</v>
      </c>
    </row>
    <row r="738" spans="1:11" x14ac:dyDescent="0.35">
      <c r="A738" s="3" t="s">
        <v>1857</v>
      </c>
      <c r="B738" s="1" t="s">
        <v>1869</v>
      </c>
      <c r="C738" s="1" t="s">
        <v>1874</v>
      </c>
      <c r="D738" s="1" t="str">
        <f>"4120"</f>
        <v>4120</v>
      </c>
      <c r="E738" s="1" t="str">
        <f>"009054230"</f>
        <v>009054230</v>
      </c>
      <c r="F738" s="1" t="s">
        <v>943</v>
      </c>
      <c r="G738" s="3" t="s">
        <v>15</v>
      </c>
      <c r="H738" s="3" t="str">
        <f>"7"</f>
        <v>7</v>
      </c>
      <c r="I738" s="4">
        <v>1093.0999999999999</v>
      </c>
      <c r="J738" s="2">
        <v>45878</v>
      </c>
      <c r="K738" s="1" t="s">
        <v>1875</v>
      </c>
    </row>
    <row r="739" spans="1:11" x14ac:dyDescent="0.35">
      <c r="A739" s="3" t="s">
        <v>1857</v>
      </c>
      <c r="B739" s="1" t="s">
        <v>1897</v>
      </c>
      <c r="C739" s="1" t="s">
        <v>1898</v>
      </c>
      <c r="D739" s="1" t="str">
        <f>"1240"</f>
        <v>1240</v>
      </c>
      <c r="E739" s="1" t="str">
        <f>"015350972"</f>
        <v>015350972</v>
      </c>
      <c r="F739" s="1" t="s">
        <v>1899</v>
      </c>
      <c r="G739" s="3" t="s">
        <v>15</v>
      </c>
      <c r="H739" s="3" t="str">
        <f>"418"</f>
        <v>418</v>
      </c>
      <c r="I739" s="4">
        <v>12.11</v>
      </c>
      <c r="J739" s="2">
        <v>45878</v>
      </c>
      <c r="K739" s="1" t="s">
        <v>1900</v>
      </c>
    </row>
    <row r="740" spans="1:11" x14ac:dyDescent="0.35">
      <c r="A740" s="3" t="s">
        <v>1857</v>
      </c>
      <c r="B740" s="1" t="s">
        <v>1897</v>
      </c>
      <c r="C740" s="1" t="s">
        <v>1901</v>
      </c>
      <c r="D740" s="1" t="str">
        <f>"1240"</f>
        <v>1240</v>
      </c>
      <c r="E740" s="1" t="str">
        <f>"015350972"</f>
        <v>015350972</v>
      </c>
      <c r="F740" s="1" t="s">
        <v>1899</v>
      </c>
      <c r="G740" s="3" t="s">
        <v>15</v>
      </c>
      <c r="H740" s="3" t="str">
        <f>"545"</f>
        <v>545</v>
      </c>
      <c r="I740" s="4">
        <v>12.11</v>
      </c>
      <c r="J740" s="2">
        <v>45878</v>
      </c>
      <c r="K740" s="1" t="s">
        <v>1900</v>
      </c>
    </row>
    <row r="741" spans="1:11" x14ac:dyDescent="0.35">
      <c r="A741" s="3" t="s">
        <v>1857</v>
      </c>
      <c r="B741" s="1" t="s">
        <v>1869</v>
      </c>
      <c r="C741" s="1" t="s">
        <v>1894</v>
      </c>
      <c r="D741" s="1" t="str">
        <f>"8340"</f>
        <v>8340</v>
      </c>
      <c r="E741" s="1" t="str">
        <f>"015335344"</f>
        <v>015335344</v>
      </c>
      <c r="F741" s="1" t="s">
        <v>1895</v>
      </c>
      <c r="G741" s="3" t="s">
        <v>15</v>
      </c>
      <c r="H741" s="3" t="str">
        <f>"1"</f>
        <v>1</v>
      </c>
      <c r="I741" s="4">
        <v>137470.26</v>
      </c>
      <c r="J741" s="2">
        <v>45876</v>
      </c>
      <c r="K741" s="1" t="s">
        <v>1896</v>
      </c>
    </row>
    <row r="742" spans="1:11" x14ac:dyDescent="0.35">
      <c r="A742" s="3" t="s">
        <v>1857</v>
      </c>
      <c r="B742" s="1" t="s">
        <v>1869</v>
      </c>
      <c r="C742" s="1" t="s">
        <v>1880</v>
      </c>
      <c r="D742" s="1" t="str">
        <f>"5855"</f>
        <v>5855</v>
      </c>
      <c r="E742" s="1" t="str">
        <f>"016177586"</f>
        <v>016177586</v>
      </c>
      <c r="F742" s="1" t="s">
        <v>1881</v>
      </c>
      <c r="G742" s="3" t="s">
        <v>15</v>
      </c>
      <c r="H742" s="3" t="str">
        <f>"1"</f>
        <v>1</v>
      </c>
      <c r="I742" s="4" t="str">
        <f>"1400000"</f>
        <v>1400000</v>
      </c>
      <c r="J742" s="2">
        <v>45870</v>
      </c>
      <c r="K742" s="1" t="s">
        <v>1882</v>
      </c>
    </row>
    <row r="743" spans="1:11" x14ac:dyDescent="0.35">
      <c r="A743" s="3" t="s">
        <v>1857</v>
      </c>
      <c r="B743" s="1" t="s">
        <v>1902</v>
      </c>
      <c r="C743" s="1" t="s">
        <v>1903</v>
      </c>
      <c r="D743" s="1" t="str">
        <f>"5855"</f>
        <v>5855</v>
      </c>
      <c r="E743" s="1" t="str">
        <f>"015665301"</f>
        <v>015665301</v>
      </c>
      <c r="F743" s="1" t="s">
        <v>1904</v>
      </c>
      <c r="G743" s="3" t="s">
        <v>15</v>
      </c>
      <c r="H743" s="3" t="str">
        <f>"30"</f>
        <v>30</v>
      </c>
      <c r="I743" s="4">
        <v>445.26</v>
      </c>
      <c r="J743" s="2">
        <v>45868</v>
      </c>
      <c r="K743" s="1" t="s">
        <v>1905</v>
      </c>
    </row>
    <row r="744" spans="1:11" x14ac:dyDescent="0.35">
      <c r="A744" s="3" t="s">
        <v>1857</v>
      </c>
      <c r="B744" s="1" t="s">
        <v>1922</v>
      </c>
      <c r="C744" s="1" t="s">
        <v>1923</v>
      </c>
      <c r="D744" s="1" t="str">
        <f>"1240"</f>
        <v>1240</v>
      </c>
      <c r="E744" s="1" t="str">
        <f>"014907308"</f>
        <v>014907308</v>
      </c>
      <c r="F744" s="1" t="s">
        <v>269</v>
      </c>
      <c r="G744" s="3" t="s">
        <v>15</v>
      </c>
      <c r="H744" s="3" t="str">
        <f>"2"</f>
        <v>2</v>
      </c>
      <c r="I744" s="4">
        <v>1779.24</v>
      </c>
      <c r="J744" s="2">
        <v>45868</v>
      </c>
      <c r="K744" s="1" t="s">
        <v>1924</v>
      </c>
    </row>
    <row r="745" spans="1:11" x14ac:dyDescent="0.35">
      <c r="A745" s="3" t="s">
        <v>1857</v>
      </c>
      <c r="B745" s="1" t="s">
        <v>1906</v>
      </c>
      <c r="C745" s="1" t="s">
        <v>1912</v>
      </c>
      <c r="D745" s="1" t="str">
        <f>"2340"</f>
        <v>2340</v>
      </c>
      <c r="E745" s="1" t="s">
        <v>694</v>
      </c>
      <c r="F745" s="1" t="s">
        <v>695</v>
      </c>
      <c r="G745" s="3" t="s">
        <v>15</v>
      </c>
      <c r="H745" s="3" t="str">
        <f>"2"</f>
        <v>2</v>
      </c>
      <c r="I745" s="4" t="str">
        <f>"15000"</f>
        <v>15000</v>
      </c>
      <c r="J745" s="2">
        <v>45855</v>
      </c>
      <c r="K745" s="1" t="s">
        <v>1913</v>
      </c>
    </row>
    <row r="746" spans="1:11" x14ac:dyDescent="0.35">
      <c r="A746" s="3" t="s">
        <v>1857</v>
      </c>
      <c r="B746" s="1" t="s">
        <v>1869</v>
      </c>
      <c r="C746" s="1" t="s">
        <v>1870</v>
      </c>
      <c r="D746" s="1" t="str">
        <f>"2320"</f>
        <v>2320</v>
      </c>
      <c r="E746" s="1" t="s">
        <v>1871</v>
      </c>
      <c r="F746" s="1" t="s">
        <v>1872</v>
      </c>
      <c r="G746" s="3" t="s">
        <v>15</v>
      </c>
      <c r="H746" s="3" t="str">
        <f>"1"</f>
        <v>1</v>
      </c>
      <c r="I746" s="4" t="str">
        <f>"10000"</f>
        <v>10000</v>
      </c>
      <c r="J746" s="2">
        <v>45849</v>
      </c>
      <c r="K746" s="1" t="s">
        <v>1873</v>
      </c>
    </row>
    <row r="747" spans="1:11" x14ac:dyDescent="0.35">
      <c r="A747" s="3" t="s">
        <v>1857</v>
      </c>
      <c r="B747" s="1" t="s">
        <v>1869</v>
      </c>
      <c r="C747" s="1" t="s">
        <v>1876</v>
      </c>
      <c r="D747" s="1" t="str">
        <f>"5440"</f>
        <v>5440</v>
      </c>
      <c r="E747" s="1" t="s">
        <v>1877</v>
      </c>
      <c r="F747" s="1" t="s">
        <v>1878</v>
      </c>
      <c r="G747" s="3" t="s">
        <v>15</v>
      </c>
      <c r="H747" s="3" t="str">
        <f>"1"</f>
        <v>1</v>
      </c>
      <c r="I747" s="4" t="str">
        <f>"15000"</f>
        <v>15000</v>
      </c>
      <c r="J747" s="2">
        <v>45848</v>
      </c>
      <c r="K747" s="1" t="s">
        <v>1879</v>
      </c>
    </row>
    <row r="748" spans="1:11" x14ac:dyDescent="0.35">
      <c r="A748" s="3" t="s">
        <v>1857</v>
      </c>
      <c r="B748" s="1" t="s">
        <v>1869</v>
      </c>
      <c r="C748" s="1" t="s">
        <v>1889</v>
      </c>
      <c r="D748" s="1" t="str">
        <f>"7025"</f>
        <v>7025</v>
      </c>
      <c r="E748" s="1" t="s">
        <v>1890</v>
      </c>
      <c r="F748" s="1" t="s">
        <v>1891</v>
      </c>
      <c r="G748" s="3" t="s">
        <v>15</v>
      </c>
      <c r="H748" s="3" t="str">
        <f>"10"</f>
        <v>10</v>
      </c>
      <c r="I748" s="4" t="str">
        <f>"2050"</f>
        <v>2050</v>
      </c>
      <c r="J748" s="2">
        <v>45848</v>
      </c>
      <c r="K748" s="1" t="s">
        <v>1892</v>
      </c>
    </row>
    <row r="749" spans="1:11" x14ac:dyDescent="0.35">
      <c r="A749" s="3" t="s">
        <v>1857</v>
      </c>
      <c r="B749" s="1" t="s">
        <v>1869</v>
      </c>
      <c r="C749" s="1" t="s">
        <v>1893</v>
      </c>
      <c r="D749" s="1" t="str">
        <f>"7025"</f>
        <v>7025</v>
      </c>
      <c r="E749" s="1" t="s">
        <v>1890</v>
      </c>
      <c r="F749" s="1" t="s">
        <v>1891</v>
      </c>
      <c r="G749" s="3" t="s">
        <v>15</v>
      </c>
      <c r="H749" s="3" t="str">
        <f>"10"</f>
        <v>10</v>
      </c>
      <c r="I749" s="4" t="str">
        <f>"2050"</f>
        <v>2050</v>
      </c>
      <c r="J749" s="2">
        <v>45848</v>
      </c>
      <c r="K749" s="1" t="e">
        <f>-HAVING TO CANCEL PREVIOUS APPROVED COMPUTERS DUE TO SHIPPING-POLICE OFFICERS RELY ON THESE DESKTOPS FOR INVESTIGATIONS, EMERGENCY RESPONSE PLANNING, AND TRAINING. THESE DEVICES PROVIDE ACCESS TO ESSENTIAL TOOLS, SOFTWARE, AND RESOURCES, ENABLING DATA ANALYSIS, STRATEGY DEVELOPMENT, AND IMPROVED READINESS FOR VARIOUS SCENARIOS. DESKTOPS ENHANCE COLLABORATION, ENSURE RELIABLE PERFORMANCE, AND SUPPORT CRITICAL OPERATIONS, BOOSTING EFFICIENCY AND PUBLIC SAFETY.</f>
        <v>#NAME?</v>
      </c>
    </row>
    <row r="750" spans="1:11" x14ac:dyDescent="0.35">
      <c r="A750" s="3" t="s">
        <v>1857</v>
      </c>
      <c r="B750" s="1" t="s">
        <v>1869</v>
      </c>
      <c r="C750" s="1" t="s">
        <v>1883</v>
      </c>
      <c r="D750" s="1" t="str">
        <f>"6115"</f>
        <v>6115</v>
      </c>
      <c r="E750" s="1" t="s">
        <v>174</v>
      </c>
      <c r="F750" s="1" t="s">
        <v>175</v>
      </c>
      <c r="G750" s="3" t="s">
        <v>15</v>
      </c>
      <c r="H750" s="3" t="str">
        <f>"1"</f>
        <v>1</v>
      </c>
      <c r="I750" s="4" t="str">
        <f>"10000"</f>
        <v>10000</v>
      </c>
      <c r="J750" s="2">
        <v>45847</v>
      </c>
      <c r="K750" s="1" t="s">
        <v>1884</v>
      </c>
    </row>
    <row r="751" spans="1:11" x14ac:dyDescent="0.35">
      <c r="A751" s="3" t="s">
        <v>1857</v>
      </c>
      <c r="B751" s="1" t="s">
        <v>1869</v>
      </c>
      <c r="C751" s="1" t="s">
        <v>1885</v>
      </c>
      <c r="D751" s="1" t="str">
        <f>"6230"</f>
        <v>6230</v>
      </c>
      <c r="E751" s="1" t="s">
        <v>178</v>
      </c>
      <c r="F751" s="1" t="s">
        <v>179</v>
      </c>
      <c r="G751" s="3" t="s">
        <v>15</v>
      </c>
      <c r="H751" s="3" t="str">
        <f>"7"</f>
        <v>7</v>
      </c>
      <c r="I751" s="4" t="str">
        <f>"115"</f>
        <v>115</v>
      </c>
      <c r="J751" s="2">
        <v>45847</v>
      </c>
      <c r="K751" s="1" t="s">
        <v>1886</v>
      </c>
    </row>
    <row r="752" spans="1:11" x14ac:dyDescent="0.35">
      <c r="A752" s="3" t="s">
        <v>1857</v>
      </c>
      <c r="B752" s="1" t="s">
        <v>1863</v>
      </c>
      <c r="C752" s="1" t="s">
        <v>1867</v>
      </c>
      <c r="D752" s="1" t="str">
        <f>"8415"</f>
        <v>8415</v>
      </c>
      <c r="E752" s="1" t="s">
        <v>1359</v>
      </c>
      <c r="F752" s="1" t="s">
        <v>1360</v>
      </c>
      <c r="G752" s="3" t="s">
        <v>15</v>
      </c>
      <c r="H752" s="3" t="str">
        <f>"26"</f>
        <v>26</v>
      </c>
      <c r="I752" s="4" t="str">
        <f>"51"</f>
        <v>51</v>
      </c>
      <c r="J752" s="2">
        <v>45841</v>
      </c>
      <c r="K752" s="1" t="s">
        <v>1868</v>
      </c>
    </row>
    <row r="753" spans="1:11" x14ac:dyDescent="0.35">
      <c r="A753" s="3" t="s">
        <v>1857</v>
      </c>
      <c r="B753" s="1" t="s">
        <v>1863</v>
      </c>
      <c r="C753" s="1" t="s">
        <v>1864</v>
      </c>
      <c r="D753" s="1" t="str">
        <f>"1005"</f>
        <v>1005</v>
      </c>
      <c r="E753" s="1" t="str">
        <f>"014526771"</f>
        <v>014526771</v>
      </c>
      <c r="F753" s="1" t="s">
        <v>1865</v>
      </c>
      <c r="G753" s="3" t="s">
        <v>15</v>
      </c>
      <c r="H753" s="3" t="str">
        <f>"16"</f>
        <v>16</v>
      </c>
      <c r="I753" s="4">
        <v>142.91999999999999</v>
      </c>
      <c r="J753" s="2">
        <v>45840</v>
      </c>
      <c r="K753" s="1" t="s">
        <v>1866</v>
      </c>
    </row>
    <row r="754" spans="1:11" x14ac:dyDescent="0.35">
      <c r="A754" s="3" t="s">
        <v>1857</v>
      </c>
      <c r="B754" s="1" t="s">
        <v>1858</v>
      </c>
      <c r="C754" s="1" t="s">
        <v>1859</v>
      </c>
      <c r="D754" s="1" t="str">
        <f>"6310"</f>
        <v>6310</v>
      </c>
      <c r="E754" s="1" t="s">
        <v>1860</v>
      </c>
      <c r="F754" s="1" t="s">
        <v>1861</v>
      </c>
      <c r="G754" s="3" t="s">
        <v>15</v>
      </c>
      <c r="H754" s="3" t="str">
        <f>"1"</f>
        <v>1</v>
      </c>
      <c r="I754" s="4" t="str">
        <f>"10000"</f>
        <v>10000</v>
      </c>
      <c r="J754" s="2">
        <v>45839</v>
      </c>
      <c r="K754" s="1" t="s">
        <v>1862</v>
      </c>
    </row>
    <row r="755" spans="1:11" x14ac:dyDescent="0.35">
      <c r="A755" s="3" t="s">
        <v>1944</v>
      </c>
      <c r="B755" s="1" t="s">
        <v>1945</v>
      </c>
      <c r="C755" s="1" t="s">
        <v>1965</v>
      </c>
      <c r="D755" s="1" t="str">
        <f>"8415"</f>
        <v>8415</v>
      </c>
      <c r="E755" s="1" t="str">
        <f>"016638165"</f>
        <v>016638165</v>
      </c>
      <c r="F755" s="1" t="s">
        <v>1966</v>
      </c>
      <c r="G755" s="3" t="s">
        <v>15</v>
      </c>
      <c r="H755" s="3" t="str">
        <f>"23"</f>
        <v>23</v>
      </c>
      <c r="I755" s="4">
        <v>155.97999999999999</v>
      </c>
      <c r="J755" s="2">
        <v>45873</v>
      </c>
      <c r="K755" s="1" t="s">
        <v>1967</v>
      </c>
    </row>
    <row r="756" spans="1:11" x14ac:dyDescent="0.35">
      <c r="A756" s="3" t="s">
        <v>1944</v>
      </c>
      <c r="B756" s="1" t="s">
        <v>1945</v>
      </c>
      <c r="C756" s="1" t="s">
        <v>1952</v>
      </c>
      <c r="D756" s="1" t="str">
        <f>"5855"</f>
        <v>5855</v>
      </c>
      <c r="E756" s="1" t="str">
        <f>"015315726"</f>
        <v>015315726</v>
      </c>
      <c r="F756" s="1" t="s">
        <v>1953</v>
      </c>
      <c r="G756" s="3" t="s">
        <v>15</v>
      </c>
      <c r="H756" s="3" t="str">
        <f>"1"</f>
        <v>1</v>
      </c>
      <c r="I756" s="4" t="str">
        <f>"10089"</f>
        <v>10089</v>
      </c>
      <c r="J756" s="2">
        <v>45868</v>
      </c>
      <c r="K756" s="1" t="s">
        <v>1954</v>
      </c>
    </row>
    <row r="757" spans="1:11" x14ac:dyDescent="0.35">
      <c r="A757" s="3" t="s">
        <v>1944</v>
      </c>
      <c r="B757" s="1" t="s">
        <v>1945</v>
      </c>
      <c r="C757" s="1" t="s">
        <v>1946</v>
      </c>
      <c r="D757" s="1" t="str">
        <f>"5855"</f>
        <v>5855</v>
      </c>
      <c r="E757" s="1" t="str">
        <f>"014502333"</f>
        <v>014502333</v>
      </c>
      <c r="F757" s="1" t="s">
        <v>1947</v>
      </c>
      <c r="G757" s="3" t="s">
        <v>15</v>
      </c>
      <c r="H757" s="3" t="str">
        <f>"1"</f>
        <v>1</v>
      </c>
      <c r="I757" s="4">
        <v>10398.299999999999</v>
      </c>
      <c r="J757" s="2">
        <v>45862</v>
      </c>
      <c r="K757" s="1" t="s">
        <v>1948</v>
      </c>
    </row>
    <row r="758" spans="1:11" x14ac:dyDescent="0.35">
      <c r="A758" s="3" t="s">
        <v>1944</v>
      </c>
      <c r="B758" s="1" t="s">
        <v>1945</v>
      </c>
      <c r="C758" s="1" t="s">
        <v>1949</v>
      </c>
      <c r="D758" s="1" t="str">
        <f>"5855"</f>
        <v>5855</v>
      </c>
      <c r="E758" s="1" t="str">
        <f>"014502333"</f>
        <v>014502333</v>
      </c>
      <c r="F758" s="1" t="s">
        <v>1947</v>
      </c>
      <c r="G758" s="3" t="s">
        <v>15</v>
      </c>
      <c r="H758" s="3" t="str">
        <f>"1"</f>
        <v>1</v>
      </c>
      <c r="I758" s="4">
        <v>10398.299999999999</v>
      </c>
      <c r="J758" s="2">
        <v>45862</v>
      </c>
      <c r="K758" s="1" t="s">
        <v>1948</v>
      </c>
    </row>
    <row r="759" spans="1:11" x14ac:dyDescent="0.35">
      <c r="A759" s="3" t="s">
        <v>1944</v>
      </c>
      <c r="B759" s="1" t="s">
        <v>1945</v>
      </c>
      <c r="C759" s="1" t="s">
        <v>1950</v>
      </c>
      <c r="D759" s="1" t="str">
        <f>"5855"</f>
        <v>5855</v>
      </c>
      <c r="E759" s="1" t="str">
        <f>"014502333"</f>
        <v>014502333</v>
      </c>
      <c r="F759" s="1" t="s">
        <v>1947</v>
      </c>
      <c r="G759" s="3" t="s">
        <v>15</v>
      </c>
      <c r="H759" s="3" t="str">
        <f>"1"</f>
        <v>1</v>
      </c>
      <c r="I759" s="4">
        <v>10398.299999999999</v>
      </c>
      <c r="J759" s="2">
        <v>45862</v>
      </c>
      <c r="K759" s="1" t="s">
        <v>1951</v>
      </c>
    </row>
    <row r="760" spans="1:11" x14ac:dyDescent="0.35">
      <c r="A760" s="3" t="s">
        <v>1944</v>
      </c>
      <c r="B760" s="1" t="s">
        <v>1945</v>
      </c>
      <c r="C760" s="1" t="s">
        <v>1955</v>
      </c>
      <c r="D760" s="1" t="str">
        <f>"5855"</f>
        <v>5855</v>
      </c>
      <c r="E760" s="1" t="str">
        <f>"014502333"</f>
        <v>014502333</v>
      </c>
      <c r="F760" s="1" t="s">
        <v>1947</v>
      </c>
      <c r="G760" s="3" t="s">
        <v>15</v>
      </c>
      <c r="H760" s="3" t="str">
        <f>"1"</f>
        <v>1</v>
      </c>
      <c r="I760" s="4">
        <v>10398.299999999999</v>
      </c>
      <c r="J760" s="2">
        <v>45862</v>
      </c>
      <c r="K760" s="1" t="s">
        <v>1948</v>
      </c>
    </row>
    <row r="761" spans="1:11" x14ac:dyDescent="0.35">
      <c r="A761" s="3" t="s">
        <v>1944</v>
      </c>
      <c r="B761" s="1" t="s">
        <v>1945</v>
      </c>
      <c r="C761" s="1" t="s">
        <v>1956</v>
      </c>
      <c r="D761" s="1" t="str">
        <f>"5855"</f>
        <v>5855</v>
      </c>
      <c r="E761" s="1" t="str">
        <f>"014502333"</f>
        <v>014502333</v>
      </c>
      <c r="F761" s="1" t="s">
        <v>1947</v>
      </c>
      <c r="G761" s="3" t="s">
        <v>15</v>
      </c>
      <c r="H761" s="3" t="str">
        <f>"1"</f>
        <v>1</v>
      </c>
      <c r="I761" s="4">
        <v>10398.299999999999</v>
      </c>
      <c r="J761" s="2">
        <v>45862</v>
      </c>
      <c r="K761" s="1" t="s">
        <v>1948</v>
      </c>
    </row>
    <row r="762" spans="1:11" x14ac:dyDescent="0.35">
      <c r="A762" s="3" t="s">
        <v>1944</v>
      </c>
      <c r="B762" s="1" t="s">
        <v>1945</v>
      </c>
      <c r="C762" s="1" t="s">
        <v>1957</v>
      </c>
      <c r="D762" s="1" t="str">
        <f>"5855"</f>
        <v>5855</v>
      </c>
      <c r="E762" s="1" t="str">
        <f>"014502333"</f>
        <v>014502333</v>
      </c>
      <c r="F762" s="1" t="s">
        <v>1947</v>
      </c>
      <c r="G762" s="3" t="s">
        <v>15</v>
      </c>
      <c r="H762" s="3" t="str">
        <f>"1"</f>
        <v>1</v>
      </c>
      <c r="I762" s="4">
        <v>10398.299999999999</v>
      </c>
      <c r="J762" s="2">
        <v>45862</v>
      </c>
      <c r="K762" s="1" t="s">
        <v>1948</v>
      </c>
    </row>
    <row r="763" spans="1:11" x14ac:dyDescent="0.35">
      <c r="A763" s="3" t="s">
        <v>1944</v>
      </c>
      <c r="B763" s="1" t="s">
        <v>1945</v>
      </c>
      <c r="C763" s="1" t="s">
        <v>1958</v>
      </c>
      <c r="D763" s="1" t="str">
        <f>"5855"</f>
        <v>5855</v>
      </c>
      <c r="E763" s="1" t="str">
        <f>"014502333"</f>
        <v>014502333</v>
      </c>
      <c r="F763" s="1" t="s">
        <v>1947</v>
      </c>
      <c r="G763" s="3" t="s">
        <v>15</v>
      </c>
      <c r="H763" s="3" t="str">
        <f>"1"</f>
        <v>1</v>
      </c>
      <c r="I763" s="4">
        <v>10398.299999999999</v>
      </c>
      <c r="J763" s="2">
        <v>45862</v>
      </c>
      <c r="K763" s="1" t="s">
        <v>1948</v>
      </c>
    </row>
    <row r="764" spans="1:11" x14ac:dyDescent="0.35">
      <c r="A764" s="3" t="s">
        <v>1944</v>
      </c>
      <c r="B764" s="1" t="s">
        <v>1945</v>
      </c>
      <c r="C764" s="1" t="s">
        <v>1959</v>
      </c>
      <c r="D764" s="1" t="str">
        <f>"5855"</f>
        <v>5855</v>
      </c>
      <c r="E764" s="1" t="str">
        <f>"014502333"</f>
        <v>014502333</v>
      </c>
      <c r="F764" s="1" t="s">
        <v>1947</v>
      </c>
      <c r="G764" s="3" t="s">
        <v>15</v>
      </c>
      <c r="H764" s="3" t="str">
        <f>"1"</f>
        <v>1</v>
      </c>
      <c r="I764" s="4">
        <v>10398.299999999999</v>
      </c>
      <c r="J764" s="2">
        <v>45862</v>
      </c>
      <c r="K764" s="1" t="s">
        <v>1948</v>
      </c>
    </row>
    <row r="765" spans="1:11" x14ac:dyDescent="0.35">
      <c r="A765" s="3" t="s">
        <v>1944</v>
      </c>
      <c r="B765" s="1" t="s">
        <v>1945</v>
      </c>
      <c r="C765" s="1" t="s">
        <v>1960</v>
      </c>
      <c r="D765" s="1" t="str">
        <f>"5855"</f>
        <v>5855</v>
      </c>
      <c r="E765" s="1" t="str">
        <f>"014502333"</f>
        <v>014502333</v>
      </c>
      <c r="F765" s="1" t="s">
        <v>1947</v>
      </c>
      <c r="G765" s="3" t="s">
        <v>15</v>
      </c>
      <c r="H765" s="3" t="str">
        <f>"1"</f>
        <v>1</v>
      </c>
      <c r="I765" s="4">
        <v>10398.299999999999</v>
      </c>
      <c r="J765" s="2">
        <v>45862</v>
      </c>
      <c r="K765" s="1" t="s">
        <v>1948</v>
      </c>
    </row>
    <row r="766" spans="1:11" x14ac:dyDescent="0.35">
      <c r="A766" s="3" t="s">
        <v>1944</v>
      </c>
      <c r="B766" s="1" t="s">
        <v>1945</v>
      </c>
      <c r="C766" s="1" t="s">
        <v>1961</v>
      </c>
      <c r="D766" s="1" t="str">
        <f>"5855"</f>
        <v>5855</v>
      </c>
      <c r="E766" s="1" t="str">
        <f>"014502333"</f>
        <v>014502333</v>
      </c>
      <c r="F766" s="1" t="s">
        <v>1947</v>
      </c>
      <c r="G766" s="3" t="s">
        <v>15</v>
      </c>
      <c r="H766" s="3" t="str">
        <f>"1"</f>
        <v>1</v>
      </c>
      <c r="I766" s="4">
        <v>10398.299999999999</v>
      </c>
      <c r="J766" s="2">
        <v>45862</v>
      </c>
      <c r="K766" s="1" t="s">
        <v>1948</v>
      </c>
    </row>
    <row r="767" spans="1:11" x14ac:dyDescent="0.35">
      <c r="A767" s="3" t="s">
        <v>1944</v>
      </c>
      <c r="B767" s="1" t="s">
        <v>1945</v>
      </c>
      <c r="C767" s="1" t="s">
        <v>1962</v>
      </c>
      <c r="D767" s="1" t="str">
        <f>"5855"</f>
        <v>5855</v>
      </c>
      <c r="E767" s="1" t="str">
        <f>"014502333"</f>
        <v>014502333</v>
      </c>
      <c r="F767" s="1" t="s">
        <v>1947</v>
      </c>
      <c r="G767" s="3" t="s">
        <v>15</v>
      </c>
      <c r="H767" s="3" t="str">
        <f>"1"</f>
        <v>1</v>
      </c>
      <c r="I767" s="4">
        <v>10398.299999999999</v>
      </c>
      <c r="J767" s="2">
        <v>45862</v>
      </c>
      <c r="K767" s="1" t="s">
        <v>1948</v>
      </c>
    </row>
    <row r="768" spans="1:11" x14ac:dyDescent="0.35">
      <c r="A768" s="3" t="s">
        <v>1944</v>
      </c>
      <c r="B768" s="1" t="s">
        <v>1945</v>
      </c>
      <c r="C768" s="1" t="s">
        <v>1963</v>
      </c>
      <c r="D768" s="1" t="str">
        <f>"5855"</f>
        <v>5855</v>
      </c>
      <c r="E768" s="1" t="str">
        <f>"014502333"</f>
        <v>014502333</v>
      </c>
      <c r="F768" s="1" t="s">
        <v>1947</v>
      </c>
      <c r="G768" s="3" t="s">
        <v>15</v>
      </c>
      <c r="H768" s="3" t="str">
        <f>"1"</f>
        <v>1</v>
      </c>
      <c r="I768" s="4">
        <v>10398.299999999999</v>
      </c>
      <c r="J768" s="2">
        <v>45862</v>
      </c>
      <c r="K768" s="1" t="s">
        <v>1948</v>
      </c>
    </row>
    <row r="769" spans="1:11" x14ac:dyDescent="0.35">
      <c r="A769" s="3" t="s">
        <v>1944</v>
      </c>
      <c r="B769" s="1" t="s">
        <v>1945</v>
      </c>
      <c r="C769" s="1" t="s">
        <v>1964</v>
      </c>
      <c r="D769" s="1" t="str">
        <f>"5855"</f>
        <v>5855</v>
      </c>
      <c r="E769" s="1" t="str">
        <f>"014502333"</f>
        <v>014502333</v>
      </c>
      <c r="F769" s="1" t="s">
        <v>1947</v>
      </c>
      <c r="G769" s="3" t="s">
        <v>15</v>
      </c>
      <c r="H769" s="3" t="str">
        <f>"1"</f>
        <v>1</v>
      </c>
      <c r="I769" s="4">
        <v>10398.299999999999</v>
      </c>
      <c r="J769" s="2">
        <v>45862</v>
      </c>
      <c r="K769" s="1" t="s">
        <v>1948</v>
      </c>
    </row>
    <row r="770" spans="1:11" x14ac:dyDescent="0.35">
      <c r="A770" s="3" t="s">
        <v>1944</v>
      </c>
      <c r="B770" s="1" t="s">
        <v>1971</v>
      </c>
      <c r="C770" s="1" t="s">
        <v>1972</v>
      </c>
      <c r="D770" s="1" t="str">
        <f>"2420"</f>
        <v>2420</v>
      </c>
      <c r="E770" s="1" t="s">
        <v>405</v>
      </c>
      <c r="F770" s="1" t="s">
        <v>406</v>
      </c>
      <c r="G770" s="3" t="s">
        <v>15</v>
      </c>
      <c r="H770" s="3" t="str">
        <f>"1"</f>
        <v>1</v>
      </c>
      <c r="I770" s="4" t="str">
        <f>"12500"</f>
        <v>12500</v>
      </c>
      <c r="J770" s="2">
        <v>45845</v>
      </c>
      <c r="K770" s="1" t="s">
        <v>1973</v>
      </c>
    </row>
    <row r="771" spans="1:11" x14ac:dyDescent="0.35">
      <c r="A771" s="3" t="s">
        <v>1944</v>
      </c>
      <c r="B771" s="1" t="s">
        <v>1971</v>
      </c>
      <c r="C771" s="1" t="s">
        <v>1974</v>
      </c>
      <c r="D771" s="1" t="str">
        <f>"2420"</f>
        <v>2420</v>
      </c>
      <c r="E771" s="1" t="str">
        <f>"001776864"</f>
        <v>001776864</v>
      </c>
      <c r="F771" s="1" t="s">
        <v>1975</v>
      </c>
      <c r="G771" s="3" t="s">
        <v>15</v>
      </c>
      <c r="H771" s="3" t="str">
        <f>"1"</f>
        <v>1</v>
      </c>
      <c r="I771" s="4" t="str">
        <f>"54600"</f>
        <v>54600</v>
      </c>
      <c r="J771" s="2">
        <v>45845</v>
      </c>
      <c r="K771" s="1" t="s">
        <v>1976</v>
      </c>
    </row>
    <row r="772" spans="1:11" x14ac:dyDescent="0.35">
      <c r="A772" s="3" t="s">
        <v>1944</v>
      </c>
      <c r="B772" s="1" t="s">
        <v>1945</v>
      </c>
      <c r="C772" s="1" t="s">
        <v>1968</v>
      </c>
      <c r="D772" s="1" t="str">
        <f>"8465"</f>
        <v>8465</v>
      </c>
      <c r="E772" s="1" t="str">
        <f>"016533929"</f>
        <v>016533929</v>
      </c>
      <c r="F772" s="1" t="s">
        <v>1969</v>
      </c>
      <c r="G772" s="3" t="s">
        <v>15</v>
      </c>
      <c r="H772" s="3" t="str">
        <f>"26"</f>
        <v>26</v>
      </c>
      <c r="I772" s="4" t="str">
        <f>"150"</f>
        <v>150</v>
      </c>
      <c r="J772" s="2">
        <v>45841</v>
      </c>
      <c r="K772" s="1" t="s">
        <v>1970</v>
      </c>
    </row>
    <row r="773" spans="1:11" x14ac:dyDescent="0.35">
      <c r="A773" s="3" t="s">
        <v>1977</v>
      </c>
      <c r="B773" s="1" t="s">
        <v>1978</v>
      </c>
      <c r="C773" s="1" t="s">
        <v>1979</v>
      </c>
      <c r="D773" s="1" t="str">
        <f>"2330"</f>
        <v>2330</v>
      </c>
      <c r="E773" s="1" t="s">
        <v>1980</v>
      </c>
      <c r="F773" s="1" t="s">
        <v>1981</v>
      </c>
      <c r="G773" s="3" t="s">
        <v>15</v>
      </c>
      <c r="H773" s="3" t="str">
        <f>"1"</f>
        <v>1</v>
      </c>
      <c r="I773" s="4" t="str">
        <f>"9999"</f>
        <v>9999</v>
      </c>
      <c r="J773" s="2">
        <v>45895</v>
      </c>
      <c r="K773" s="1" t="s">
        <v>1982</v>
      </c>
    </row>
    <row r="774" spans="1:11" x14ac:dyDescent="0.35">
      <c r="A774" s="3" t="s">
        <v>1977</v>
      </c>
      <c r="B774" s="1" t="s">
        <v>1978</v>
      </c>
      <c r="C774" s="1" t="s">
        <v>1983</v>
      </c>
      <c r="D774" s="1" t="str">
        <f>"7010"</f>
        <v>7010</v>
      </c>
      <c r="E774" s="1" t="str">
        <f>"016501067"</f>
        <v>016501067</v>
      </c>
      <c r="F774" s="1" t="s">
        <v>1984</v>
      </c>
      <c r="G774" s="3" t="s">
        <v>15</v>
      </c>
      <c r="H774" s="3" t="str">
        <f>"1"</f>
        <v>1</v>
      </c>
      <c r="I774" s="4" t="str">
        <f>"2961"</f>
        <v>2961</v>
      </c>
      <c r="J774" s="2">
        <v>45895</v>
      </c>
      <c r="K774" s="1" t="s">
        <v>1985</v>
      </c>
    </row>
    <row r="775" spans="1:11" x14ac:dyDescent="0.35">
      <c r="A775" s="3" t="s">
        <v>1977</v>
      </c>
      <c r="B775" s="1" t="s">
        <v>1978</v>
      </c>
      <c r="C775" s="1" t="s">
        <v>1986</v>
      </c>
      <c r="D775" s="1" t="str">
        <f>"7010"</f>
        <v>7010</v>
      </c>
      <c r="E775" s="1" t="str">
        <f>"016501067"</f>
        <v>016501067</v>
      </c>
      <c r="F775" s="1" t="s">
        <v>1984</v>
      </c>
      <c r="G775" s="3" t="s">
        <v>15</v>
      </c>
      <c r="H775" s="3" t="str">
        <f>"1"</f>
        <v>1</v>
      </c>
      <c r="I775" s="4" t="str">
        <f>"2961"</f>
        <v>2961</v>
      </c>
      <c r="J775" s="2">
        <v>45895</v>
      </c>
      <c r="K775" s="1" t="s">
        <v>1985</v>
      </c>
    </row>
    <row r="776" spans="1:11" x14ac:dyDescent="0.35">
      <c r="A776" s="3" t="s">
        <v>1987</v>
      </c>
      <c r="B776" s="1" t="s">
        <v>1988</v>
      </c>
      <c r="C776" s="1" t="s">
        <v>1989</v>
      </c>
      <c r="D776" s="1" t="str">
        <f>"4240"</f>
        <v>4240</v>
      </c>
      <c r="E776" s="1" t="str">
        <f>"015545699"</f>
        <v>015545699</v>
      </c>
      <c r="F776" s="1" t="s">
        <v>1990</v>
      </c>
      <c r="G776" s="3" t="s">
        <v>19</v>
      </c>
      <c r="H776" s="3" t="str">
        <f>"58"</f>
        <v>58</v>
      </c>
      <c r="I776" s="4">
        <v>52.81</v>
      </c>
      <c r="J776" s="2">
        <v>45860</v>
      </c>
      <c r="K776" s="1" t="s">
        <v>1991</v>
      </c>
    </row>
    <row r="777" spans="1:11" x14ac:dyDescent="0.35">
      <c r="A777" s="3" t="s">
        <v>1992</v>
      </c>
      <c r="B777" s="1" t="s">
        <v>1993</v>
      </c>
      <c r="C777" s="1" t="s">
        <v>1994</v>
      </c>
      <c r="D777" s="1" t="str">
        <f>"6530"</f>
        <v>6530</v>
      </c>
      <c r="E777" s="1" t="str">
        <f>"015227855"</f>
        <v>015227855</v>
      </c>
      <c r="F777" s="1" t="s">
        <v>1995</v>
      </c>
      <c r="G777" s="3" t="s">
        <v>15</v>
      </c>
      <c r="H777" s="3" t="str">
        <f>"3"</f>
        <v>3</v>
      </c>
      <c r="I777" s="4">
        <v>524.72</v>
      </c>
      <c r="J777" s="2">
        <v>45876</v>
      </c>
      <c r="K777" s="1" t="s">
        <v>1996</v>
      </c>
    </row>
    <row r="778" spans="1:11" x14ac:dyDescent="0.35">
      <c r="A778" s="3" t="s">
        <v>1992</v>
      </c>
      <c r="B778" s="1" t="s">
        <v>1993</v>
      </c>
      <c r="C778" s="1" t="s">
        <v>1997</v>
      </c>
      <c r="D778" s="1" t="str">
        <f>"6720"</f>
        <v>6720</v>
      </c>
      <c r="E778" s="1" t="str">
        <f>"016332092"</f>
        <v>016332092</v>
      </c>
      <c r="F778" s="1" t="s">
        <v>1998</v>
      </c>
      <c r="G778" s="3" t="s">
        <v>15</v>
      </c>
      <c r="H778" s="3" t="str">
        <f>"4"</f>
        <v>4</v>
      </c>
      <c r="I778" s="4">
        <v>516.69000000000005</v>
      </c>
      <c r="J778" s="2">
        <v>45876</v>
      </c>
      <c r="K778" s="1" t="s">
        <v>1999</v>
      </c>
    </row>
    <row r="779" spans="1:11" x14ac:dyDescent="0.35">
      <c r="A779" s="3" t="s">
        <v>2000</v>
      </c>
      <c r="B779" s="1" t="s">
        <v>2062</v>
      </c>
      <c r="C779" s="1" t="s">
        <v>2063</v>
      </c>
      <c r="D779" s="1" t="str">
        <f>"5855"</f>
        <v>5855</v>
      </c>
      <c r="E779" s="1" t="str">
        <f>"014778738"</f>
        <v>014778738</v>
      </c>
      <c r="F779" s="1" t="s">
        <v>1942</v>
      </c>
      <c r="G779" s="3" t="s">
        <v>15</v>
      </c>
      <c r="H779" s="3" t="str">
        <f>"11"</f>
        <v>11</v>
      </c>
      <c r="I779" s="4" t="str">
        <f>"7830"</f>
        <v>7830</v>
      </c>
      <c r="J779" s="2">
        <v>45920</v>
      </c>
      <c r="K779" s="1" t="s">
        <v>2064</v>
      </c>
    </row>
    <row r="780" spans="1:11" x14ac:dyDescent="0.35">
      <c r="A780" s="3" t="s">
        <v>2000</v>
      </c>
      <c r="B780" s="1" t="s">
        <v>2043</v>
      </c>
      <c r="C780" s="1" t="s">
        <v>2044</v>
      </c>
      <c r="D780" s="1" t="str">
        <f>"2330"</f>
        <v>2330</v>
      </c>
      <c r="E780" s="1" t="s">
        <v>70</v>
      </c>
      <c r="F780" s="1" t="s">
        <v>71</v>
      </c>
      <c r="G780" s="3" t="s">
        <v>15</v>
      </c>
      <c r="H780" s="3" t="str">
        <f>"1"</f>
        <v>1</v>
      </c>
      <c r="I780" s="4" t="str">
        <f>"54300"</f>
        <v>54300</v>
      </c>
      <c r="J780" s="2">
        <v>45919</v>
      </c>
      <c r="K780" s="1" t="s">
        <v>2045</v>
      </c>
    </row>
    <row r="781" spans="1:11" x14ac:dyDescent="0.35">
      <c r="A781" s="3" t="s">
        <v>2000</v>
      </c>
      <c r="B781" s="1" t="s">
        <v>2001</v>
      </c>
      <c r="C781" s="1" t="s">
        <v>2018</v>
      </c>
      <c r="D781" s="1" t="str">
        <f>"6115"</f>
        <v>6115</v>
      </c>
      <c r="E781" s="1" t="str">
        <f>"012961462"</f>
        <v>012961462</v>
      </c>
      <c r="F781" s="1" t="s">
        <v>1772</v>
      </c>
      <c r="G781" s="3" t="s">
        <v>15</v>
      </c>
      <c r="H781" s="3" t="str">
        <f>"1"</f>
        <v>1</v>
      </c>
      <c r="I781" s="4" t="str">
        <f>"75000"</f>
        <v>75000</v>
      </c>
      <c r="J781" s="2">
        <v>45918</v>
      </c>
      <c r="K781" s="1" t="s">
        <v>2019</v>
      </c>
    </row>
    <row r="782" spans="1:11" x14ac:dyDescent="0.35">
      <c r="A782" s="3" t="s">
        <v>2000</v>
      </c>
      <c r="B782" s="1" t="s">
        <v>2105</v>
      </c>
      <c r="C782" s="1" t="s">
        <v>2108</v>
      </c>
      <c r="D782" s="1" t="str">
        <f>"6130"</f>
        <v>6130</v>
      </c>
      <c r="E782" s="1" t="s">
        <v>1854</v>
      </c>
      <c r="F782" s="1" t="s">
        <v>1855</v>
      </c>
      <c r="G782" s="3" t="s">
        <v>15</v>
      </c>
      <c r="H782" s="3" t="str">
        <f>"2"</f>
        <v>2</v>
      </c>
      <c r="I782" s="4" t="str">
        <f>"100"</f>
        <v>100</v>
      </c>
      <c r="J782" s="2">
        <v>45916</v>
      </c>
      <c r="K782" s="1" t="s">
        <v>2109</v>
      </c>
    </row>
    <row r="783" spans="1:11" x14ac:dyDescent="0.35">
      <c r="A783" s="3" t="s">
        <v>2000</v>
      </c>
      <c r="B783" s="1" t="s">
        <v>2078</v>
      </c>
      <c r="C783" s="1" t="s">
        <v>2079</v>
      </c>
      <c r="D783" s="1" t="str">
        <f>"1385"</f>
        <v>1385</v>
      </c>
      <c r="E783" s="1" t="str">
        <f>"015936219"</f>
        <v>015936219</v>
      </c>
      <c r="F783" s="1" t="s">
        <v>67</v>
      </c>
      <c r="G783" s="3" t="s">
        <v>15</v>
      </c>
      <c r="H783" s="3" t="str">
        <f>"1"</f>
        <v>1</v>
      </c>
      <c r="I783" s="4" t="str">
        <f>"77000"</f>
        <v>77000</v>
      </c>
      <c r="J783" s="2">
        <v>45915</v>
      </c>
      <c r="K783" s="1" t="s">
        <v>2080</v>
      </c>
    </row>
    <row r="784" spans="1:11" x14ac:dyDescent="0.35">
      <c r="A784" s="3" t="s">
        <v>2000</v>
      </c>
      <c r="B784" s="1" t="s">
        <v>2078</v>
      </c>
      <c r="C784" s="1" t="s">
        <v>2081</v>
      </c>
      <c r="D784" s="1" t="str">
        <f>"2340"</f>
        <v>2340</v>
      </c>
      <c r="E784" s="1" t="s">
        <v>2003</v>
      </c>
      <c r="F784" s="1" t="s">
        <v>2004</v>
      </c>
      <c r="G784" s="3" t="s">
        <v>15</v>
      </c>
      <c r="H784" s="3" t="str">
        <f>"1"</f>
        <v>1</v>
      </c>
      <c r="I784" s="4" t="str">
        <f>"16000"</f>
        <v>16000</v>
      </c>
      <c r="J784" s="2">
        <v>45915</v>
      </c>
      <c r="K784" s="1" t="s">
        <v>2082</v>
      </c>
    </row>
    <row r="785" spans="1:11" x14ac:dyDescent="0.35">
      <c r="A785" s="3" t="s">
        <v>2000</v>
      </c>
      <c r="B785" s="1" t="s">
        <v>2078</v>
      </c>
      <c r="C785" s="1" t="s">
        <v>2103</v>
      </c>
      <c r="D785" s="1" t="str">
        <f>"8145"</f>
        <v>8145</v>
      </c>
      <c r="E785" s="1" t="s">
        <v>1602</v>
      </c>
      <c r="F785" s="1" t="s">
        <v>1603</v>
      </c>
      <c r="G785" s="3" t="s">
        <v>15</v>
      </c>
      <c r="H785" s="3" t="str">
        <f>"30"</f>
        <v>30</v>
      </c>
      <c r="I785" s="4" t="str">
        <f>"200"</f>
        <v>200</v>
      </c>
      <c r="J785" s="2">
        <v>45915</v>
      </c>
      <c r="K785" s="1" t="s">
        <v>2104</v>
      </c>
    </row>
    <row r="786" spans="1:11" x14ac:dyDescent="0.35">
      <c r="A786" s="3" t="s">
        <v>2000</v>
      </c>
      <c r="B786" s="1" t="s">
        <v>2001</v>
      </c>
      <c r="C786" s="1" t="s">
        <v>2002</v>
      </c>
      <c r="D786" s="1" t="str">
        <f>"2340"</f>
        <v>2340</v>
      </c>
      <c r="E786" s="1" t="s">
        <v>2003</v>
      </c>
      <c r="F786" s="1" t="s">
        <v>2004</v>
      </c>
      <c r="G786" s="3" t="s">
        <v>15</v>
      </c>
      <c r="H786" s="3" t="str">
        <f>"1"</f>
        <v>1</v>
      </c>
      <c r="I786" s="4" t="str">
        <f>"7000"</f>
        <v>7000</v>
      </c>
      <c r="J786" s="2">
        <v>45911</v>
      </c>
      <c r="K786" s="1" t="s">
        <v>2005</v>
      </c>
    </row>
    <row r="787" spans="1:11" x14ac:dyDescent="0.35">
      <c r="A787" s="3" t="s">
        <v>2000</v>
      </c>
      <c r="B787" s="1" t="s">
        <v>2001</v>
      </c>
      <c r="C787" s="1" t="s">
        <v>2006</v>
      </c>
      <c r="D787" s="1" t="str">
        <f>"2340"</f>
        <v>2340</v>
      </c>
      <c r="E787" s="1" t="s">
        <v>2003</v>
      </c>
      <c r="F787" s="1" t="s">
        <v>2004</v>
      </c>
      <c r="G787" s="3" t="s">
        <v>15</v>
      </c>
      <c r="H787" s="3" t="str">
        <f>"1"</f>
        <v>1</v>
      </c>
      <c r="I787" s="4" t="str">
        <f>"10000"</f>
        <v>10000</v>
      </c>
      <c r="J787" s="2">
        <v>45911</v>
      </c>
      <c r="K787" s="1" t="s">
        <v>2007</v>
      </c>
    </row>
    <row r="788" spans="1:11" x14ac:dyDescent="0.35">
      <c r="A788" s="3" t="s">
        <v>2000</v>
      </c>
      <c r="B788" s="1" t="s">
        <v>2001</v>
      </c>
      <c r="C788" s="1" t="s">
        <v>2008</v>
      </c>
      <c r="D788" s="1" t="str">
        <f>"2340"</f>
        <v>2340</v>
      </c>
      <c r="E788" s="1" t="s">
        <v>2003</v>
      </c>
      <c r="F788" s="1" t="s">
        <v>2004</v>
      </c>
      <c r="G788" s="3" t="s">
        <v>15</v>
      </c>
      <c r="H788" s="3" t="str">
        <f>"1"</f>
        <v>1</v>
      </c>
      <c r="I788" s="4" t="str">
        <f>"15000"</f>
        <v>15000</v>
      </c>
      <c r="J788" s="2">
        <v>45911</v>
      </c>
      <c r="K788" s="1" t="s">
        <v>2009</v>
      </c>
    </row>
    <row r="789" spans="1:11" x14ac:dyDescent="0.35">
      <c r="A789" s="3" t="s">
        <v>2000</v>
      </c>
      <c r="B789" s="1" t="s">
        <v>2001</v>
      </c>
      <c r="C789" s="1" t="s">
        <v>2010</v>
      </c>
      <c r="D789" s="1" t="str">
        <f>"6115"</f>
        <v>6115</v>
      </c>
      <c r="E789" s="1" t="str">
        <f>"014133818"</f>
        <v>014133818</v>
      </c>
      <c r="F789" s="1" t="s">
        <v>1772</v>
      </c>
      <c r="G789" s="3" t="s">
        <v>15</v>
      </c>
      <c r="H789" s="3" t="str">
        <f>"1"</f>
        <v>1</v>
      </c>
      <c r="I789" s="4" t="str">
        <f>"25757"</f>
        <v>25757</v>
      </c>
      <c r="J789" s="2">
        <v>45909</v>
      </c>
      <c r="K789" s="1" t="s">
        <v>2011</v>
      </c>
    </row>
    <row r="790" spans="1:11" x14ac:dyDescent="0.35">
      <c r="A790" s="3" t="s">
        <v>2000</v>
      </c>
      <c r="B790" s="1" t="s">
        <v>2001</v>
      </c>
      <c r="C790" s="1" t="s">
        <v>2020</v>
      </c>
      <c r="D790" s="1" t="str">
        <f>"6115"</f>
        <v>6115</v>
      </c>
      <c r="E790" s="1" t="str">
        <f>"013037896"</f>
        <v>013037896</v>
      </c>
      <c r="F790" s="1" t="s">
        <v>1838</v>
      </c>
      <c r="G790" s="3" t="s">
        <v>15</v>
      </c>
      <c r="H790" s="3" t="str">
        <f>"1"</f>
        <v>1</v>
      </c>
      <c r="I790" s="4" t="str">
        <f>"70891"</f>
        <v>70891</v>
      </c>
      <c r="J790" s="2">
        <v>45909</v>
      </c>
      <c r="K790" s="1" t="s">
        <v>2021</v>
      </c>
    </row>
    <row r="791" spans="1:11" x14ac:dyDescent="0.35">
      <c r="A791" s="3" t="s">
        <v>2000</v>
      </c>
      <c r="B791" s="1" t="s">
        <v>2065</v>
      </c>
      <c r="C791" s="1" t="s">
        <v>2069</v>
      </c>
      <c r="D791" s="1" t="str">
        <f>"5855"</f>
        <v>5855</v>
      </c>
      <c r="E791" s="1" t="str">
        <f>"014502333"</f>
        <v>014502333</v>
      </c>
      <c r="F791" s="1" t="s">
        <v>1947</v>
      </c>
      <c r="G791" s="3" t="s">
        <v>15</v>
      </c>
      <c r="H791" s="3" t="str">
        <f>"3"</f>
        <v>3</v>
      </c>
      <c r="I791" s="4">
        <v>10398.299999999999</v>
      </c>
      <c r="J791" s="2">
        <v>45909</v>
      </c>
      <c r="K791" s="1" t="s">
        <v>2070</v>
      </c>
    </row>
    <row r="792" spans="1:11" x14ac:dyDescent="0.35">
      <c r="A792" s="3" t="s">
        <v>2000</v>
      </c>
      <c r="B792" s="1" t="s">
        <v>2110</v>
      </c>
      <c r="C792" s="1" t="s">
        <v>2111</v>
      </c>
      <c r="D792" s="1" t="str">
        <f>"8465"</f>
        <v>8465</v>
      </c>
      <c r="E792" s="1" t="str">
        <f>"015248362"</f>
        <v>015248362</v>
      </c>
      <c r="F792" s="1" t="s">
        <v>2112</v>
      </c>
      <c r="G792" s="3" t="s">
        <v>15</v>
      </c>
      <c r="H792" s="3" t="str">
        <f>"15"</f>
        <v>15</v>
      </c>
      <c r="I792" s="4">
        <v>34.479999999999997</v>
      </c>
      <c r="J792" s="2">
        <v>45906</v>
      </c>
      <c r="K792" s="1" t="s">
        <v>2113</v>
      </c>
    </row>
    <row r="793" spans="1:11" x14ac:dyDescent="0.35">
      <c r="A793" s="3" t="s">
        <v>2000</v>
      </c>
      <c r="B793" s="1" t="s">
        <v>2001</v>
      </c>
      <c r="C793" s="1" t="s">
        <v>2012</v>
      </c>
      <c r="D793" s="1" t="str">
        <f>"6115"</f>
        <v>6115</v>
      </c>
      <c r="E793" s="1" t="str">
        <f>"014743776"</f>
        <v>014743776</v>
      </c>
      <c r="F793" s="1" t="s">
        <v>1838</v>
      </c>
      <c r="G793" s="3" t="s">
        <v>15</v>
      </c>
      <c r="H793" s="3" t="str">
        <f>"3"</f>
        <v>3</v>
      </c>
      <c r="I793" s="4" t="str">
        <f>"96819"</f>
        <v>96819</v>
      </c>
      <c r="J793" s="2">
        <v>45903</v>
      </c>
      <c r="K793" s="1" t="s">
        <v>2013</v>
      </c>
    </row>
    <row r="794" spans="1:11" x14ac:dyDescent="0.35">
      <c r="A794" s="3" t="s">
        <v>2000</v>
      </c>
      <c r="B794" s="1" t="s">
        <v>2035</v>
      </c>
      <c r="C794" s="1" t="s">
        <v>2036</v>
      </c>
      <c r="D794" s="1" t="str">
        <f>"2330"</f>
        <v>2330</v>
      </c>
      <c r="E794" s="1" t="s">
        <v>70</v>
      </c>
      <c r="F794" s="1" t="s">
        <v>71</v>
      </c>
      <c r="G794" s="3" t="s">
        <v>15</v>
      </c>
      <c r="H794" s="3" t="str">
        <f>"1"</f>
        <v>1</v>
      </c>
      <c r="I794" s="4" t="str">
        <f>"13000"</f>
        <v>13000</v>
      </c>
      <c r="J794" s="2">
        <v>45902</v>
      </c>
      <c r="K794" s="1" t="s">
        <v>2037</v>
      </c>
    </row>
    <row r="795" spans="1:11" x14ac:dyDescent="0.35">
      <c r="A795" s="3" t="s">
        <v>2000</v>
      </c>
      <c r="B795" s="1" t="s">
        <v>2035</v>
      </c>
      <c r="C795" s="1" t="s">
        <v>2038</v>
      </c>
      <c r="D795" s="1" t="str">
        <f>"2330"</f>
        <v>2330</v>
      </c>
      <c r="E795" s="1" t="s">
        <v>70</v>
      </c>
      <c r="F795" s="1" t="s">
        <v>71</v>
      </c>
      <c r="G795" s="3" t="s">
        <v>15</v>
      </c>
      <c r="H795" s="3" t="str">
        <f>"1"</f>
        <v>1</v>
      </c>
      <c r="I795" s="4" t="str">
        <f>"13000"</f>
        <v>13000</v>
      </c>
      <c r="J795" s="2">
        <v>45902</v>
      </c>
      <c r="K795" s="1" t="s">
        <v>2039</v>
      </c>
    </row>
    <row r="796" spans="1:11" x14ac:dyDescent="0.35">
      <c r="A796" s="3" t="s">
        <v>2000</v>
      </c>
      <c r="B796" s="1" t="s">
        <v>2035</v>
      </c>
      <c r="C796" s="1" t="s">
        <v>2040</v>
      </c>
      <c r="D796" s="1" t="str">
        <f>"2330"</f>
        <v>2330</v>
      </c>
      <c r="E796" s="1" t="s">
        <v>70</v>
      </c>
      <c r="F796" s="1" t="s">
        <v>71</v>
      </c>
      <c r="G796" s="3" t="s">
        <v>15</v>
      </c>
      <c r="H796" s="3" t="str">
        <f>"1"</f>
        <v>1</v>
      </c>
      <c r="I796" s="4" t="str">
        <f>"13000"</f>
        <v>13000</v>
      </c>
      <c r="J796" s="2">
        <v>45902</v>
      </c>
      <c r="K796" s="1" t="s">
        <v>2039</v>
      </c>
    </row>
    <row r="797" spans="1:11" x14ac:dyDescent="0.35">
      <c r="A797" s="3" t="s">
        <v>2000</v>
      </c>
      <c r="B797" s="1" t="s">
        <v>2035</v>
      </c>
      <c r="C797" s="1" t="s">
        <v>2041</v>
      </c>
      <c r="D797" s="1" t="str">
        <f>"2340"</f>
        <v>2340</v>
      </c>
      <c r="E797" s="1" t="str">
        <f>"015066222"</f>
        <v>015066222</v>
      </c>
      <c r="F797" s="1" t="s">
        <v>623</v>
      </c>
      <c r="G797" s="3" t="s">
        <v>15</v>
      </c>
      <c r="H797" s="3" t="str">
        <f>"1"</f>
        <v>1</v>
      </c>
      <c r="I797" s="4" t="str">
        <f>"16104"</f>
        <v>16104</v>
      </c>
      <c r="J797" s="2">
        <v>45902</v>
      </c>
      <c r="K797" s="1" t="s">
        <v>2042</v>
      </c>
    </row>
    <row r="798" spans="1:11" x14ac:dyDescent="0.35">
      <c r="A798" s="3" t="s">
        <v>2000</v>
      </c>
      <c r="B798" s="1" t="s">
        <v>2051</v>
      </c>
      <c r="C798" s="1" t="s">
        <v>2052</v>
      </c>
      <c r="D798" s="1" t="str">
        <f>"5855"</f>
        <v>5855</v>
      </c>
      <c r="E798" s="1" t="str">
        <f>"015936375"</f>
        <v>015936375</v>
      </c>
      <c r="F798" s="1" t="s">
        <v>1904</v>
      </c>
      <c r="G798" s="3" t="s">
        <v>15</v>
      </c>
      <c r="H798" s="3" t="str">
        <f>"17"</f>
        <v>17</v>
      </c>
      <c r="I798" s="4">
        <v>702.1</v>
      </c>
      <c r="J798" s="2">
        <v>45902</v>
      </c>
      <c r="K798" s="1" t="s">
        <v>2053</v>
      </c>
    </row>
    <row r="799" spans="1:11" x14ac:dyDescent="0.35">
      <c r="A799" s="3" t="s">
        <v>2000</v>
      </c>
      <c r="B799" s="1" t="s">
        <v>2051</v>
      </c>
      <c r="C799" s="1" t="s">
        <v>2059</v>
      </c>
      <c r="D799" s="1" t="str">
        <f>"8465"</f>
        <v>8465</v>
      </c>
      <c r="E799" s="1" t="str">
        <f>"016408200"</f>
        <v>016408200</v>
      </c>
      <c r="F799" s="1" t="s">
        <v>2060</v>
      </c>
      <c r="G799" s="3" t="s">
        <v>15</v>
      </c>
      <c r="H799" s="3" t="str">
        <f>"5"</f>
        <v>5</v>
      </c>
      <c r="I799" s="4">
        <v>263.8</v>
      </c>
      <c r="J799" s="2">
        <v>45902</v>
      </c>
      <c r="K799" s="1" t="s">
        <v>2061</v>
      </c>
    </row>
    <row r="800" spans="1:11" x14ac:dyDescent="0.35">
      <c r="A800" s="3" t="s">
        <v>2000</v>
      </c>
      <c r="B800" s="1" t="s">
        <v>2001</v>
      </c>
      <c r="C800" s="1" t="s">
        <v>2014</v>
      </c>
      <c r="D800" s="1" t="str">
        <f>"6115"</f>
        <v>6115</v>
      </c>
      <c r="E800" s="1" t="str">
        <f>"012747390"</f>
        <v>012747390</v>
      </c>
      <c r="F800" s="1" t="s">
        <v>435</v>
      </c>
      <c r="G800" s="3" t="s">
        <v>15</v>
      </c>
      <c r="H800" s="3" t="str">
        <f>"1"</f>
        <v>1</v>
      </c>
      <c r="I800" s="4" t="str">
        <f>"25073"</f>
        <v>25073</v>
      </c>
      <c r="J800" s="2">
        <v>45897</v>
      </c>
      <c r="K800" s="1" t="s">
        <v>2015</v>
      </c>
    </row>
    <row r="801" spans="1:11" x14ac:dyDescent="0.35">
      <c r="A801" s="3" t="s">
        <v>2000</v>
      </c>
      <c r="B801" s="1" t="s">
        <v>2065</v>
      </c>
      <c r="C801" s="1" t="s">
        <v>2068</v>
      </c>
      <c r="D801" s="1" t="str">
        <f>"5855"</f>
        <v>5855</v>
      </c>
      <c r="E801" s="1" t="str">
        <f>"014333157"</f>
        <v>014333157</v>
      </c>
      <c r="F801" s="1" t="s">
        <v>1942</v>
      </c>
      <c r="G801" s="3" t="s">
        <v>15</v>
      </c>
      <c r="H801" s="3" t="str">
        <f>"1"</f>
        <v>1</v>
      </c>
      <c r="I801" s="4" t="str">
        <f>"6392"</f>
        <v>6392</v>
      </c>
      <c r="J801" s="2">
        <v>45894</v>
      </c>
      <c r="K801" s="1" t="s">
        <v>2067</v>
      </c>
    </row>
    <row r="802" spans="1:11" x14ac:dyDescent="0.35">
      <c r="A802" s="3" t="s">
        <v>2000</v>
      </c>
      <c r="B802" s="1" t="s">
        <v>2065</v>
      </c>
      <c r="C802" s="1" t="s">
        <v>2071</v>
      </c>
      <c r="D802" s="1" t="str">
        <f>"5855"</f>
        <v>5855</v>
      </c>
      <c r="E802" s="1" t="str">
        <f>"014333157"</f>
        <v>014333157</v>
      </c>
      <c r="F802" s="1" t="s">
        <v>1942</v>
      </c>
      <c r="G802" s="3" t="s">
        <v>15</v>
      </c>
      <c r="H802" s="3" t="str">
        <f>"6"</f>
        <v>6</v>
      </c>
      <c r="I802" s="4" t="str">
        <f>"6392"</f>
        <v>6392</v>
      </c>
      <c r="J802" s="2">
        <v>45894</v>
      </c>
      <c r="K802" s="1" t="s">
        <v>2070</v>
      </c>
    </row>
    <row r="803" spans="1:11" x14ac:dyDescent="0.35">
      <c r="A803" s="3" t="s">
        <v>2000</v>
      </c>
      <c r="B803" s="1" t="s">
        <v>2078</v>
      </c>
      <c r="C803" s="1" t="s">
        <v>2083</v>
      </c>
      <c r="D803" s="1" t="str">
        <f>"2340"</f>
        <v>2340</v>
      </c>
      <c r="E803" s="1" t="s">
        <v>647</v>
      </c>
      <c r="F803" s="1" t="s">
        <v>648</v>
      </c>
      <c r="G803" s="3" t="s">
        <v>15</v>
      </c>
      <c r="H803" s="3" t="str">
        <f>"1"</f>
        <v>1</v>
      </c>
      <c r="I803" s="4" t="str">
        <f>"5000"</f>
        <v>5000</v>
      </c>
      <c r="J803" s="2">
        <v>45891</v>
      </c>
      <c r="K803" s="1" t="s">
        <v>2084</v>
      </c>
    </row>
    <row r="804" spans="1:11" x14ac:dyDescent="0.35">
      <c r="A804" s="3" t="s">
        <v>2000</v>
      </c>
      <c r="B804" s="1" t="s">
        <v>2065</v>
      </c>
      <c r="C804" s="1" t="s">
        <v>2073</v>
      </c>
      <c r="D804" s="1" t="str">
        <f>"5855"</f>
        <v>5855</v>
      </c>
      <c r="E804" s="1" t="str">
        <f>"014778741"</f>
        <v>014778741</v>
      </c>
      <c r="F804" s="1" t="s">
        <v>1942</v>
      </c>
      <c r="G804" s="3" t="s">
        <v>15</v>
      </c>
      <c r="H804" s="3" t="str">
        <f>"1"</f>
        <v>1</v>
      </c>
      <c r="I804" s="4" t="str">
        <f>"10165"</f>
        <v>10165</v>
      </c>
      <c r="J804" s="2">
        <v>45890</v>
      </c>
      <c r="K804" s="1" t="s">
        <v>2067</v>
      </c>
    </row>
    <row r="805" spans="1:11" x14ac:dyDescent="0.35">
      <c r="A805" s="3" t="s">
        <v>2000</v>
      </c>
      <c r="B805" s="1" t="s">
        <v>2001</v>
      </c>
      <c r="C805" s="1" t="s">
        <v>2016</v>
      </c>
      <c r="D805" s="1" t="str">
        <f>"6115"</f>
        <v>6115</v>
      </c>
      <c r="E805" s="1" t="str">
        <f>"014706376"</f>
        <v>014706376</v>
      </c>
      <c r="F805" s="1" t="s">
        <v>1772</v>
      </c>
      <c r="G805" s="3" t="s">
        <v>15</v>
      </c>
      <c r="H805" s="3" t="str">
        <f>"1"</f>
        <v>1</v>
      </c>
      <c r="I805" s="4" t="str">
        <f>"38418"</f>
        <v>38418</v>
      </c>
      <c r="J805" s="2">
        <v>45889</v>
      </c>
      <c r="K805" s="1" t="s">
        <v>2017</v>
      </c>
    </row>
    <row r="806" spans="1:11" x14ac:dyDescent="0.35">
      <c r="A806" s="3" t="s">
        <v>2000</v>
      </c>
      <c r="B806" s="1" t="s">
        <v>2027</v>
      </c>
      <c r="C806" s="1" t="s">
        <v>2034</v>
      </c>
      <c r="D806" s="1" t="str">
        <f>"8415"</f>
        <v>8415</v>
      </c>
      <c r="E806" s="1" t="str">
        <f>"010749425"</f>
        <v>010749425</v>
      </c>
      <c r="F806" s="1" t="s">
        <v>839</v>
      </c>
      <c r="G806" s="3" t="s">
        <v>15</v>
      </c>
      <c r="H806" s="3" t="str">
        <f>"21"</f>
        <v>21</v>
      </c>
      <c r="I806" s="4">
        <v>230.23</v>
      </c>
      <c r="J806" s="2">
        <v>45883</v>
      </c>
      <c r="K806" s="1" t="s">
        <v>4312</v>
      </c>
    </row>
    <row r="807" spans="1:11" x14ac:dyDescent="0.35">
      <c r="A807" s="3" t="s">
        <v>2000</v>
      </c>
      <c r="B807" s="1" t="s">
        <v>2027</v>
      </c>
      <c r="C807" s="1" t="s">
        <v>2028</v>
      </c>
      <c r="D807" s="1" t="str">
        <f>"8415"</f>
        <v>8415</v>
      </c>
      <c r="E807" s="1" t="str">
        <f>"010749422"</f>
        <v>010749422</v>
      </c>
      <c r="F807" s="1" t="s">
        <v>839</v>
      </c>
      <c r="G807" s="3" t="s">
        <v>15</v>
      </c>
      <c r="H807" s="3" t="str">
        <f>"10"</f>
        <v>10</v>
      </c>
      <c r="I807" s="4">
        <v>229.83</v>
      </c>
      <c r="J807" s="2">
        <v>45882</v>
      </c>
      <c r="K807" s="1" t="s">
        <v>2029</v>
      </c>
    </row>
    <row r="808" spans="1:11" x14ac:dyDescent="0.35">
      <c r="A808" s="3" t="s">
        <v>2000</v>
      </c>
      <c r="B808" s="1" t="s">
        <v>2027</v>
      </c>
      <c r="C808" s="1" t="s">
        <v>2030</v>
      </c>
      <c r="D808" s="1" t="str">
        <f>"8415"</f>
        <v>8415</v>
      </c>
      <c r="E808" s="1" t="str">
        <f>"010749418"</f>
        <v>010749418</v>
      </c>
      <c r="F808" s="1" t="s">
        <v>839</v>
      </c>
      <c r="G808" s="3" t="s">
        <v>15</v>
      </c>
      <c r="H808" s="3" t="str">
        <f>"10"</f>
        <v>10</v>
      </c>
      <c r="I808" s="4">
        <v>163.06</v>
      </c>
      <c r="J808" s="2">
        <v>45882</v>
      </c>
      <c r="K808" s="1" t="s">
        <v>2029</v>
      </c>
    </row>
    <row r="809" spans="1:11" x14ac:dyDescent="0.35">
      <c r="A809" s="3" t="s">
        <v>2000</v>
      </c>
      <c r="B809" s="1" t="s">
        <v>2027</v>
      </c>
      <c r="C809" s="1" t="s">
        <v>2031</v>
      </c>
      <c r="D809" s="1" t="str">
        <f>"8415"</f>
        <v>8415</v>
      </c>
      <c r="E809" s="1" t="str">
        <f>"010749420"</f>
        <v>010749420</v>
      </c>
      <c r="F809" s="1" t="s">
        <v>839</v>
      </c>
      <c r="G809" s="3" t="s">
        <v>15</v>
      </c>
      <c r="H809" s="3" t="str">
        <f>"10"</f>
        <v>10</v>
      </c>
      <c r="I809" s="4">
        <v>229.83</v>
      </c>
      <c r="J809" s="2">
        <v>45882</v>
      </c>
      <c r="K809" s="1" t="s">
        <v>2029</v>
      </c>
    </row>
    <row r="810" spans="1:11" x14ac:dyDescent="0.35">
      <c r="A810" s="3" t="s">
        <v>2000</v>
      </c>
      <c r="B810" s="1" t="s">
        <v>2027</v>
      </c>
      <c r="C810" s="1" t="s">
        <v>2032</v>
      </c>
      <c r="D810" s="1" t="str">
        <f>"8415"</f>
        <v>8415</v>
      </c>
      <c r="E810" s="1" t="str">
        <f>"010749425"</f>
        <v>010749425</v>
      </c>
      <c r="F810" s="1" t="s">
        <v>839</v>
      </c>
      <c r="G810" s="3" t="s">
        <v>15</v>
      </c>
      <c r="H810" s="3" t="str">
        <f>"10"</f>
        <v>10</v>
      </c>
      <c r="I810" s="4">
        <v>230.23</v>
      </c>
      <c r="J810" s="2">
        <v>45882</v>
      </c>
      <c r="K810" s="1" t="s">
        <v>2029</v>
      </c>
    </row>
    <row r="811" spans="1:11" x14ac:dyDescent="0.35">
      <c r="A811" s="3" t="s">
        <v>2000</v>
      </c>
      <c r="B811" s="1" t="s">
        <v>2027</v>
      </c>
      <c r="C811" s="1" t="s">
        <v>2033</v>
      </c>
      <c r="D811" s="1" t="str">
        <f>"8415"</f>
        <v>8415</v>
      </c>
      <c r="E811" s="1" t="str">
        <f>"010749426"</f>
        <v>010749426</v>
      </c>
      <c r="F811" s="1" t="s">
        <v>839</v>
      </c>
      <c r="G811" s="3" t="s">
        <v>15</v>
      </c>
      <c r="H811" s="3" t="str">
        <f>"5"</f>
        <v>5</v>
      </c>
      <c r="I811" s="4">
        <v>229.83</v>
      </c>
      <c r="J811" s="2">
        <v>45882</v>
      </c>
      <c r="K811" s="1" t="s">
        <v>2029</v>
      </c>
    </row>
    <row r="812" spans="1:11" x14ac:dyDescent="0.35">
      <c r="A812" s="3" t="s">
        <v>2000</v>
      </c>
      <c r="B812" s="1" t="s">
        <v>2043</v>
      </c>
      <c r="C812" s="1" t="s">
        <v>2046</v>
      </c>
      <c r="D812" s="1" t="str">
        <f>"4240"</f>
        <v>4240</v>
      </c>
      <c r="E812" s="1" t="str">
        <f>"015439618"</f>
        <v>015439618</v>
      </c>
      <c r="F812" s="1" t="s">
        <v>256</v>
      </c>
      <c r="G812" s="3" t="s">
        <v>15</v>
      </c>
      <c r="H812" s="3" t="str">
        <f>"10"</f>
        <v>10</v>
      </c>
      <c r="I812" s="4">
        <v>28.63</v>
      </c>
      <c r="J812" s="2">
        <v>45877</v>
      </c>
      <c r="K812" s="1" t="s">
        <v>2047</v>
      </c>
    </row>
    <row r="813" spans="1:11" x14ac:dyDescent="0.35">
      <c r="A813" s="3" t="s">
        <v>2000</v>
      </c>
      <c r="B813" s="1" t="s">
        <v>2048</v>
      </c>
      <c r="C813" s="1" t="s">
        <v>2049</v>
      </c>
      <c r="D813" s="1" t="str">
        <f>"6720"</f>
        <v>6720</v>
      </c>
      <c r="E813" s="1" t="s">
        <v>443</v>
      </c>
      <c r="F813" s="1" t="s">
        <v>444</v>
      </c>
      <c r="G813" s="3" t="s">
        <v>15</v>
      </c>
      <c r="H813" s="3" t="str">
        <f>"1"</f>
        <v>1</v>
      </c>
      <c r="I813" s="4" t="str">
        <f>"500"</f>
        <v>500</v>
      </c>
      <c r="J813" s="2">
        <v>45877</v>
      </c>
      <c r="K813" s="1" t="s">
        <v>2050</v>
      </c>
    </row>
    <row r="814" spans="1:11" x14ac:dyDescent="0.35">
      <c r="A814" s="3" t="s">
        <v>2000</v>
      </c>
      <c r="B814" s="1" t="s">
        <v>2065</v>
      </c>
      <c r="C814" s="1" t="s">
        <v>2066</v>
      </c>
      <c r="D814" s="1" t="str">
        <f>"5855"</f>
        <v>5855</v>
      </c>
      <c r="E814" s="1" t="str">
        <f>"015330940"</f>
        <v>015330940</v>
      </c>
      <c r="F814" s="1" t="s">
        <v>1953</v>
      </c>
      <c r="G814" s="3" t="s">
        <v>15</v>
      </c>
      <c r="H814" s="3" t="str">
        <f>"1"</f>
        <v>1</v>
      </c>
      <c r="I814" s="4" t="str">
        <f>"5000"</f>
        <v>5000</v>
      </c>
      <c r="J814" s="2">
        <v>45876</v>
      </c>
      <c r="K814" s="1" t="s">
        <v>2067</v>
      </c>
    </row>
    <row r="815" spans="1:11" x14ac:dyDescent="0.35">
      <c r="A815" s="3" t="s">
        <v>2000</v>
      </c>
      <c r="B815" s="1" t="s">
        <v>2065</v>
      </c>
      <c r="C815" s="1" t="s">
        <v>2072</v>
      </c>
      <c r="D815" s="1" t="str">
        <f>"5855"</f>
        <v>5855</v>
      </c>
      <c r="E815" s="1" t="str">
        <f>"014778741"</f>
        <v>014778741</v>
      </c>
      <c r="F815" s="1" t="s">
        <v>1942</v>
      </c>
      <c r="G815" s="3" t="s">
        <v>15</v>
      </c>
      <c r="H815" s="3" t="str">
        <f>"1"</f>
        <v>1</v>
      </c>
      <c r="I815" s="4" t="str">
        <f>"10165"</f>
        <v>10165</v>
      </c>
      <c r="J815" s="2">
        <v>45876</v>
      </c>
      <c r="K815" s="1" t="s">
        <v>2067</v>
      </c>
    </row>
    <row r="816" spans="1:11" x14ac:dyDescent="0.35">
      <c r="A816" s="3" t="s">
        <v>2000</v>
      </c>
      <c r="B816" s="1" t="s">
        <v>2065</v>
      </c>
      <c r="C816" s="1" t="s">
        <v>2074</v>
      </c>
      <c r="D816" s="1" t="str">
        <f>"5855"</f>
        <v>5855</v>
      </c>
      <c r="E816" s="1" t="str">
        <f>"014778741"</f>
        <v>014778741</v>
      </c>
      <c r="F816" s="1" t="s">
        <v>1942</v>
      </c>
      <c r="G816" s="3" t="s">
        <v>15</v>
      </c>
      <c r="H816" s="3" t="str">
        <f>"1"</f>
        <v>1</v>
      </c>
      <c r="I816" s="4" t="str">
        <f>"10165"</f>
        <v>10165</v>
      </c>
      <c r="J816" s="2">
        <v>45876</v>
      </c>
      <c r="K816" s="1" t="s">
        <v>2067</v>
      </c>
    </row>
    <row r="817" spans="1:11" x14ac:dyDescent="0.35">
      <c r="A817" s="3" t="s">
        <v>2000</v>
      </c>
      <c r="B817" s="1" t="s">
        <v>2065</v>
      </c>
      <c r="C817" s="1" t="s">
        <v>2075</v>
      </c>
      <c r="D817" s="1" t="str">
        <f>"5855"</f>
        <v>5855</v>
      </c>
      <c r="E817" s="1" t="str">
        <f>"015330940"</f>
        <v>015330940</v>
      </c>
      <c r="F817" s="1" t="s">
        <v>1953</v>
      </c>
      <c r="G817" s="3" t="s">
        <v>15</v>
      </c>
      <c r="H817" s="3" t="str">
        <f>"1"</f>
        <v>1</v>
      </c>
      <c r="I817" s="4" t="str">
        <f>"5000"</f>
        <v>5000</v>
      </c>
      <c r="J817" s="2">
        <v>45876</v>
      </c>
      <c r="K817" s="1" t="s">
        <v>2067</v>
      </c>
    </row>
    <row r="818" spans="1:11" x14ac:dyDescent="0.35">
      <c r="A818" s="3" t="s">
        <v>2000</v>
      </c>
      <c r="B818" s="1" t="s">
        <v>2065</v>
      </c>
      <c r="C818" s="1" t="s">
        <v>2076</v>
      </c>
      <c r="D818" s="1" t="str">
        <f>"5855"</f>
        <v>5855</v>
      </c>
      <c r="E818" s="1" t="str">
        <f>"015330940"</f>
        <v>015330940</v>
      </c>
      <c r="F818" s="1" t="s">
        <v>1953</v>
      </c>
      <c r="G818" s="3" t="s">
        <v>15</v>
      </c>
      <c r="H818" s="3" t="str">
        <f>"1"</f>
        <v>1</v>
      </c>
      <c r="I818" s="4" t="str">
        <f>"5000"</f>
        <v>5000</v>
      </c>
      <c r="J818" s="2">
        <v>45876</v>
      </c>
      <c r="K818" s="1" t="s">
        <v>2067</v>
      </c>
    </row>
    <row r="819" spans="1:11" x14ac:dyDescent="0.35">
      <c r="A819" s="3" t="s">
        <v>2000</v>
      </c>
      <c r="B819" s="1" t="s">
        <v>2065</v>
      </c>
      <c r="C819" s="1" t="s">
        <v>2077</v>
      </c>
      <c r="D819" s="1" t="str">
        <f>"5855"</f>
        <v>5855</v>
      </c>
      <c r="E819" s="1" t="str">
        <f>"015330940"</f>
        <v>015330940</v>
      </c>
      <c r="F819" s="1" t="s">
        <v>1953</v>
      </c>
      <c r="G819" s="3" t="s">
        <v>15</v>
      </c>
      <c r="H819" s="3" t="str">
        <f>"1"</f>
        <v>1</v>
      </c>
      <c r="I819" s="4" t="str">
        <f>"5000"</f>
        <v>5000</v>
      </c>
      <c r="J819" s="2">
        <v>45876</v>
      </c>
      <c r="K819" s="1" t="s">
        <v>2067</v>
      </c>
    </row>
    <row r="820" spans="1:11" x14ac:dyDescent="0.35">
      <c r="A820" s="3" t="s">
        <v>2000</v>
      </c>
      <c r="B820" s="1" t="s">
        <v>2105</v>
      </c>
      <c r="C820" s="1" t="s">
        <v>2106</v>
      </c>
      <c r="D820" s="1" t="str">
        <f>"4240"</f>
        <v>4240</v>
      </c>
      <c r="E820" s="1" t="str">
        <f>"015439618"</f>
        <v>015439618</v>
      </c>
      <c r="F820" s="1" t="s">
        <v>256</v>
      </c>
      <c r="G820" s="3" t="s">
        <v>15</v>
      </c>
      <c r="H820" s="3" t="str">
        <f>"40"</f>
        <v>40</v>
      </c>
      <c r="I820" s="4">
        <v>28.63</v>
      </c>
      <c r="J820" s="2">
        <v>45875</v>
      </c>
      <c r="K820" s="1" t="s">
        <v>2107</v>
      </c>
    </row>
    <row r="821" spans="1:11" x14ac:dyDescent="0.35">
      <c r="A821" s="3" t="s">
        <v>2000</v>
      </c>
      <c r="B821" s="1" t="s">
        <v>2051</v>
      </c>
      <c r="C821" s="1" t="s">
        <v>2054</v>
      </c>
      <c r="D821" s="1" t="str">
        <f>"5855"</f>
        <v>5855</v>
      </c>
      <c r="E821" s="1" t="str">
        <f>"015493136"</f>
        <v>015493136</v>
      </c>
      <c r="F821" s="1" t="s">
        <v>2055</v>
      </c>
      <c r="G821" s="3" t="s">
        <v>15</v>
      </c>
      <c r="H821" s="3" t="str">
        <f>"15"</f>
        <v>15</v>
      </c>
      <c r="I821" s="4">
        <v>1184.77</v>
      </c>
      <c r="J821" s="2">
        <v>45873</v>
      </c>
      <c r="K821" s="1" t="s">
        <v>2056</v>
      </c>
    </row>
    <row r="822" spans="1:11" x14ac:dyDescent="0.35">
      <c r="A822" s="3" t="s">
        <v>2000</v>
      </c>
      <c r="B822" s="1" t="s">
        <v>2051</v>
      </c>
      <c r="C822" s="1" t="s">
        <v>2057</v>
      </c>
      <c r="D822" s="1" t="str">
        <f>"6230"</f>
        <v>6230</v>
      </c>
      <c r="E822" s="1" t="str">
        <f>"015894822"</f>
        <v>015894822</v>
      </c>
      <c r="F822" s="1" t="s">
        <v>310</v>
      </c>
      <c r="G822" s="3" t="s">
        <v>15</v>
      </c>
      <c r="H822" s="3" t="str">
        <f>"15"</f>
        <v>15</v>
      </c>
      <c r="I822" s="4">
        <v>889.39</v>
      </c>
      <c r="J822" s="2">
        <v>45869</v>
      </c>
      <c r="K822" s="1" t="s">
        <v>2058</v>
      </c>
    </row>
    <row r="823" spans="1:11" x14ac:dyDescent="0.35">
      <c r="A823" s="3" t="s">
        <v>2000</v>
      </c>
      <c r="B823" s="1" t="s">
        <v>2078</v>
      </c>
      <c r="C823" s="1" t="s">
        <v>2098</v>
      </c>
      <c r="D823" s="1" t="str">
        <f>"5895"</f>
        <v>5895</v>
      </c>
      <c r="E823" s="1" t="str">
        <f>"015984531"</f>
        <v>015984531</v>
      </c>
      <c r="F823" s="1" t="s">
        <v>2099</v>
      </c>
      <c r="G823" s="3" t="s">
        <v>19</v>
      </c>
      <c r="H823" s="3" t="str">
        <f>"9"</f>
        <v>9</v>
      </c>
      <c r="I823" s="4">
        <v>763.74</v>
      </c>
      <c r="J823" s="2">
        <v>45862</v>
      </c>
      <c r="K823" s="1" t="s">
        <v>2100</v>
      </c>
    </row>
    <row r="824" spans="1:11" x14ac:dyDescent="0.35">
      <c r="A824" s="3" t="s">
        <v>2000</v>
      </c>
      <c r="B824" s="1" t="s">
        <v>2022</v>
      </c>
      <c r="C824" s="1" t="s">
        <v>2025</v>
      </c>
      <c r="D824" s="1" t="str">
        <f>"5855"</f>
        <v>5855</v>
      </c>
      <c r="E824" s="1" t="str">
        <f>"015330940"</f>
        <v>015330940</v>
      </c>
      <c r="F824" s="1" t="s">
        <v>1953</v>
      </c>
      <c r="G824" s="3" t="s">
        <v>15</v>
      </c>
      <c r="H824" s="3" t="str">
        <f>"2"</f>
        <v>2</v>
      </c>
      <c r="I824" s="4" t="str">
        <f>"5000"</f>
        <v>5000</v>
      </c>
      <c r="J824" s="2">
        <v>45849</v>
      </c>
      <c r="K824" s="1" t="s">
        <v>2026</v>
      </c>
    </row>
    <row r="825" spans="1:11" x14ac:dyDescent="0.35">
      <c r="A825" s="3" t="s">
        <v>2000</v>
      </c>
      <c r="B825" s="1" t="s">
        <v>2078</v>
      </c>
      <c r="C825" s="1" t="s">
        <v>2101</v>
      </c>
      <c r="D825" s="1" t="str">
        <f>"5895"</f>
        <v>5895</v>
      </c>
      <c r="E825" s="1" t="str">
        <f>"015984531"</f>
        <v>015984531</v>
      </c>
      <c r="F825" s="1" t="s">
        <v>2099</v>
      </c>
      <c r="G825" s="3" t="s">
        <v>19</v>
      </c>
      <c r="H825" s="3" t="str">
        <f>"8"</f>
        <v>8</v>
      </c>
      <c r="I825" s="4">
        <v>763.74</v>
      </c>
      <c r="J825" s="2">
        <v>45848</v>
      </c>
      <c r="K825" s="1" t="s">
        <v>2102</v>
      </c>
    </row>
    <row r="826" spans="1:11" x14ac:dyDescent="0.35">
      <c r="A826" s="3" t="s">
        <v>2000</v>
      </c>
      <c r="B826" s="1" t="s">
        <v>2078</v>
      </c>
      <c r="C826" s="1" t="s">
        <v>2085</v>
      </c>
      <c r="D826" s="1" t="str">
        <f>"4210"</f>
        <v>4210</v>
      </c>
      <c r="E826" s="1" t="s">
        <v>2086</v>
      </c>
      <c r="F826" s="1" t="s">
        <v>2087</v>
      </c>
      <c r="G826" s="3" t="s">
        <v>15</v>
      </c>
      <c r="H826" s="3" t="str">
        <f>"20"</f>
        <v>20</v>
      </c>
      <c r="I826" s="4" t="str">
        <f>"250"</f>
        <v>250</v>
      </c>
      <c r="J826" s="2">
        <v>45846</v>
      </c>
      <c r="K826" s="1" t="s">
        <v>2088</v>
      </c>
    </row>
    <row r="827" spans="1:11" x14ac:dyDescent="0.35">
      <c r="A827" s="3" t="s">
        <v>2000</v>
      </c>
      <c r="B827" s="1" t="s">
        <v>2078</v>
      </c>
      <c r="C827" s="1" t="s">
        <v>2089</v>
      </c>
      <c r="D827" s="1" t="str">
        <f>"4210"</f>
        <v>4210</v>
      </c>
      <c r="E827" s="1" t="s">
        <v>2086</v>
      </c>
      <c r="F827" s="1" t="s">
        <v>2087</v>
      </c>
      <c r="G827" s="3" t="s">
        <v>15</v>
      </c>
      <c r="H827" s="3" t="str">
        <f>"20"</f>
        <v>20</v>
      </c>
      <c r="I827" s="4" t="str">
        <f>"250"</f>
        <v>250</v>
      </c>
      <c r="J827" s="2">
        <v>45846</v>
      </c>
      <c r="K827" s="1" t="s">
        <v>2088</v>
      </c>
    </row>
    <row r="828" spans="1:11" x14ac:dyDescent="0.35">
      <c r="A828" s="3" t="s">
        <v>2000</v>
      </c>
      <c r="B828" s="1" t="s">
        <v>2078</v>
      </c>
      <c r="C828" s="1" t="s">
        <v>2090</v>
      </c>
      <c r="D828" s="1" t="str">
        <f>"4240"</f>
        <v>4240</v>
      </c>
      <c r="E828" s="1" t="s">
        <v>1105</v>
      </c>
      <c r="F828" s="1" t="s">
        <v>1106</v>
      </c>
      <c r="G828" s="3" t="s">
        <v>15</v>
      </c>
      <c r="H828" s="3" t="str">
        <f>"30"</f>
        <v>30</v>
      </c>
      <c r="I828" s="4" t="str">
        <f>"263"</f>
        <v>263</v>
      </c>
      <c r="J828" s="2">
        <v>45846</v>
      </c>
      <c r="K828" s="1" t="s">
        <v>2091</v>
      </c>
    </row>
    <row r="829" spans="1:11" x14ac:dyDescent="0.35">
      <c r="A829" s="3" t="s">
        <v>2000</v>
      </c>
      <c r="B829" s="1" t="s">
        <v>2078</v>
      </c>
      <c r="C829" s="1" t="s">
        <v>2095</v>
      </c>
      <c r="D829" s="1" t="str">
        <f>"4240"</f>
        <v>4240</v>
      </c>
      <c r="E829" s="1" t="s">
        <v>1105</v>
      </c>
      <c r="F829" s="1" t="s">
        <v>1106</v>
      </c>
      <c r="G829" s="3" t="s">
        <v>15</v>
      </c>
      <c r="H829" s="3" t="str">
        <f>"20"</f>
        <v>20</v>
      </c>
      <c r="I829" s="4" t="str">
        <f>"150"</f>
        <v>150</v>
      </c>
      <c r="J829" s="2">
        <v>45846</v>
      </c>
      <c r="K829" s="1" t="s">
        <v>2096</v>
      </c>
    </row>
    <row r="830" spans="1:11" x14ac:dyDescent="0.35">
      <c r="A830" s="3" t="s">
        <v>2000</v>
      </c>
      <c r="B830" s="1" t="s">
        <v>2078</v>
      </c>
      <c r="C830" s="1" t="s">
        <v>2097</v>
      </c>
      <c r="D830" s="1" t="str">
        <f>"4240"</f>
        <v>4240</v>
      </c>
      <c r="E830" s="1" t="s">
        <v>1105</v>
      </c>
      <c r="F830" s="1" t="s">
        <v>1106</v>
      </c>
      <c r="G830" s="3" t="s">
        <v>15</v>
      </c>
      <c r="H830" s="3" t="str">
        <f>"30"</f>
        <v>30</v>
      </c>
      <c r="I830" s="4" t="str">
        <f>"243"</f>
        <v>243</v>
      </c>
      <c r="J830" s="2">
        <v>45846</v>
      </c>
      <c r="K830" s="1" t="s">
        <v>2091</v>
      </c>
    </row>
    <row r="831" spans="1:11" x14ac:dyDescent="0.35">
      <c r="A831" s="3" t="s">
        <v>2000</v>
      </c>
      <c r="B831" s="1" t="s">
        <v>2022</v>
      </c>
      <c r="C831" s="1" t="s">
        <v>2023</v>
      </c>
      <c r="D831" s="1" t="str">
        <f>"5855"</f>
        <v>5855</v>
      </c>
      <c r="E831" s="1" t="s">
        <v>1926</v>
      </c>
      <c r="F831" s="1" t="s">
        <v>1927</v>
      </c>
      <c r="G831" s="3" t="s">
        <v>15</v>
      </c>
      <c r="H831" s="3" t="str">
        <f>"8"</f>
        <v>8</v>
      </c>
      <c r="I831" s="4" t="str">
        <f>"15794"</f>
        <v>15794</v>
      </c>
      <c r="J831" s="2">
        <v>45845</v>
      </c>
      <c r="K831" s="1" t="s">
        <v>2024</v>
      </c>
    </row>
    <row r="832" spans="1:11" x14ac:dyDescent="0.35">
      <c r="A832" s="3" t="s">
        <v>2000</v>
      </c>
      <c r="B832" s="1" t="s">
        <v>2078</v>
      </c>
      <c r="C832" s="1" t="s">
        <v>2092</v>
      </c>
      <c r="D832" s="1" t="str">
        <f>"4240"</f>
        <v>4240</v>
      </c>
      <c r="E832" s="1" t="s">
        <v>1105</v>
      </c>
      <c r="F832" s="1" t="s">
        <v>1106</v>
      </c>
      <c r="G832" s="3" t="s">
        <v>15</v>
      </c>
      <c r="H832" s="3" t="str">
        <f>"3"</f>
        <v>3</v>
      </c>
      <c r="I832" s="4" t="str">
        <f>"476"</f>
        <v>476</v>
      </c>
      <c r="J832" s="2">
        <v>45841</v>
      </c>
      <c r="K832" s="1" t="s">
        <v>2093</v>
      </c>
    </row>
    <row r="833" spans="1:11" x14ac:dyDescent="0.35">
      <c r="A833" s="3" t="s">
        <v>2000</v>
      </c>
      <c r="B833" s="1" t="s">
        <v>2078</v>
      </c>
      <c r="C833" s="1" t="s">
        <v>2094</v>
      </c>
      <c r="D833" s="1" t="str">
        <f>"4240"</f>
        <v>4240</v>
      </c>
      <c r="E833" s="1" t="s">
        <v>1105</v>
      </c>
      <c r="F833" s="1" t="s">
        <v>1106</v>
      </c>
      <c r="G833" s="3" t="s">
        <v>15</v>
      </c>
      <c r="H833" s="3" t="str">
        <f>"3"</f>
        <v>3</v>
      </c>
      <c r="I833" s="4" t="str">
        <f>"476"</f>
        <v>476</v>
      </c>
      <c r="J833" s="2">
        <v>45841</v>
      </c>
      <c r="K833" s="1" t="s">
        <v>2093</v>
      </c>
    </row>
    <row r="834" spans="1:11" x14ac:dyDescent="0.35">
      <c r="A834" s="3" t="s">
        <v>2114</v>
      </c>
      <c r="B834" s="1" t="s">
        <v>2138</v>
      </c>
      <c r="C834" s="1" t="s">
        <v>2139</v>
      </c>
      <c r="D834" s="1" t="str">
        <f>"1240"</f>
        <v>1240</v>
      </c>
      <c r="E834" s="1" t="str">
        <f>"015766134"</f>
        <v>015766134</v>
      </c>
      <c r="F834" s="1" t="s">
        <v>269</v>
      </c>
      <c r="G834" s="3" t="s">
        <v>15</v>
      </c>
      <c r="H834" s="3" t="str">
        <f>"26"</f>
        <v>26</v>
      </c>
      <c r="I834" s="4" t="str">
        <f>"483"</f>
        <v>483</v>
      </c>
      <c r="J834" s="2">
        <v>45918</v>
      </c>
      <c r="K834" s="1" t="s">
        <v>2140</v>
      </c>
    </row>
    <row r="835" spans="1:11" x14ac:dyDescent="0.35">
      <c r="A835" s="3" t="s">
        <v>2114</v>
      </c>
      <c r="B835" s="1" t="s">
        <v>2115</v>
      </c>
      <c r="C835" s="1" t="s">
        <v>2116</v>
      </c>
      <c r="D835" s="1" t="str">
        <f>"5855"</f>
        <v>5855</v>
      </c>
      <c r="E835" s="1" t="str">
        <f>"016910312"</f>
        <v>016910312</v>
      </c>
      <c r="F835" s="1" t="s">
        <v>2117</v>
      </c>
      <c r="G835" s="3" t="s">
        <v>15</v>
      </c>
      <c r="H835" s="3" t="str">
        <f>"1"</f>
        <v>1</v>
      </c>
      <c r="I835" s="4">
        <v>2665.55</v>
      </c>
      <c r="J835" s="2">
        <v>45909</v>
      </c>
      <c r="K835" s="1" t="s">
        <v>2118</v>
      </c>
    </row>
    <row r="836" spans="1:11" x14ac:dyDescent="0.35">
      <c r="A836" s="3" t="s">
        <v>2114</v>
      </c>
      <c r="B836" s="1" t="s">
        <v>2138</v>
      </c>
      <c r="C836" s="1" t="s">
        <v>2141</v>
      </c>
      <c r="D836" s="1" t="str">
        <f>"2340"</f>
        <v>2340</v>
      </c>
      <c r="E836" s="1" t="s">
        <v>2142</v>
      </c>
      <c r="F836" s="1" t="s">
        <v>2143</v>
      </c>
      <c r="G836" s="3" t="s">
        <v>15</v>
      </c>
      <c r="H836" s="3" t="str">
        <f>"2"</f>
        <v>2</v>
      </c>
      <c r="I836" s="4">
        <v>3499.99</v>
      </c>
      <c r="J836" s="2">
        <v>45908</v>
      </c>
      <c r="K836" s="1" t="s">
        <v>2144</v>
      </c>
    </row>
    <row r="837" spans="1:11" x14ac:dyDescent="0.35">
      <c r="A837" s="3" t="s">
        <v>2114</v>
      </c>
      <c r="B837" s="1" t="s">
        <v>2115</v>
      </c>
      <c r="C837" s="1" t="s">
        <v>2121</v>
      </c>
      <c r="D837" s="1" t="str">
        <f>"8415"</f>
        <v>8415</v>
      </c>
      <c r="E837" s="1" t="str">
        <f>"015386289"</f>
        <v>015386289</v>
      </c>
      <c r="F837" s="1" t="s">
        <v>973</v>
      </c>
      <c r="G837" s="3" t="s">
        <v>15</v>
      </c>
      <c r="H837" s="3" t="str">
        <f>"1"</f>
        <v>1</v>
      </c>
      <c r="I837" s="4">
        <v>143.46</v>
      </c>
      <c r="J837" s="2">
        <v>45905</v>
      </c>
      <c r="K837" s="1" t="s">
        <v>2122</v>
      </c>
    </row>
    <row r="838" spans="1:11" x14ac:dyDescent="0.35">
      <c r="A838" s="3" t="s">
        <v>2114</v>
      </c>
      <c r="B838" s="1" t="s">
        <v>2115</v>
      </c>
      <c r="C838" s="1" t="s">
        <v>2123</v>
      </c>
      <c r="D838" s="1" t="str">
        <f>"8465"</f>
        <v>8465</v>
      </c>
      <c r="E838" s="1" t="str">
        <f>"016468338"</f>
        <v>016468338</v>
      </c>
      <c r="F838" s="1" t="s">
        <v>2124</v>
      </c>
      <c r="G838" s="3" t="s">
        <v>15</v>
      </c>
      <c r="H838" s="3" t="str">
        <f>"1"</f>
        <v>1</v>
      </c>
      <c r="I838" s="4" t="str">
        <f>"140"</f>
        <v>140</v>
      </c>
      <c r="J838" s="2">
        <v>45905</v>
      </c>
      <c r="K838" s="1" t="s">
        <v>2125</v>
      </c>
    </row>
    <row r="839" spans="1:11" x14ac:dyDescent="0.35">
      <c r="A839" s="3" t="s">
        <v>2114</v>
      </c>
      <c r="B839" s="1" t="s">
        <v>2115</v>
      </c>
      <c r="C839" s="1" t="s">
        <v>2126</v>
      </c>
      <c r="D839" s="1" t="str">
        <f>"8465"</f>
        <v>8465</v>
      </c>
      <c r="E839" s="1" t="str">
        <f>"016468315"</f>
        <v>016468315</v>
      </c>
      <c r="F839" s="1" t="s">
        <v>2124</v>
      </c>
      <c r="G839" s="3" t="s">
        <v>15</v>
      </c>
      <c r="H839" s="3" t="str">
        <f>"1"</f>
        <v>1</v>
      </c>
      <c r="I839" s="4" t="str">
        <f>"145"</f>
        <v>145</v>
      </c>
      <c r="J839" s="2">
        <v>45905</v>
      </c>
      <c r="K839" s="1" t="s">
        <v>2125</v>
      </c>
    </row>
    <row r="840" spans="1:11" x14ac:dyDescent="0.35">
      <c r="A840" s="3" t="s">
        <v>2114</v>
      </c>
      <c r="B840" s="1" t="s">
        <v>2115</v>
      </c>
      <c r="C840" s="1" t="s">
        <v>2127</v>
      </c>
      <c r="D840" s="1" t="str">
        <f>"8465"</f>
        <v>8465</v>
      </c>
      <c r="E840" s="1" t="str">
        <f>"016468290"</f>
        <v>016468290</v>
      </c>
      <c r="F840" s="1" t="s">
        <v>2124</v>
      </c>
      <c r="G840" s="3" t="s">
        <v>15</v>
      </c>
      <c r="H840" s="3" t="str">
        <f>"2"</f>
        <v>2</v>
      </c>
      <c r="I840" s="4" t="str">
        <f>"145"</f>
        <v>145</v>
      </c>
      <c r="J840" s="2">
        <v>45905</v>
      </c>
      <c r="K840" s="1" t="s">
        <v>2128</v>
      </c>
    </row>
    <row r="841" spans="1:11" x14ac:dyDescent="0.35">
      <c r="A841" s="3" t="s">
        <v>2114</v>
      </c>
      <c r="B841" s="1" t="s">
        <v>2115</v>
      </c>
      <c r="C841" s="1" t="s">
        <v>2129</v>
      </c>
      <c r="D841" s="1" t="str">
        <f>"8465"</f>
        <v>8465</v>
      </c>
      <c r="E841" s="1" t="str">
        <f>"016468316"</f>
        <v>016468316</v>
      </c>
      <c r="F841" s="1" t="s">
        <v>2124</v>
      </c>
      <c r="G841" s="3" t="s">
        <v>15</v>
      </c>
      <c r="H841" s="3" t="str">
        <f>"1"</f>
        <v>1</v>
      </c>
      <c r="I841" s="4" t="str">
        <f>"140"</f>
        <v>140</v>
      </c>
      <c r="J841" s="2">
        <v>45905</v>
      </c>
      <c r="K841" s="1" t="s">
        <v>2130</v>
      </c>
    </row>
    <row r="842" spans="1:11" x14ac:dyDescent="0.35">
      <c r="A842" s="3" t="s">
        <v>2114</v>
      </c>
      <c r="B842" s="1" t="s">
        <v>2131</v>
      </c>
      <c r="C842" s="1" t="s">
        <v>2132</v>
      </c>
      <c r="D842" s="1" t="str">
        <f>"5855"</f>
        <v>5855</v>
      </c>
      <c r="E842" s="1" t="s">
        <v>285</v>
      </c>
      <c r="F842" s="1" t="s">
        <v>286</v>
      </c>
      <c r="G842" s="3" t="s">
        <v>15</v>
      </c>
      <c r="H842" s="3" t="str">
        <f>"1"</f>
        <v>1</v>
      </c>
      <c r="I842" s="4" t="str">
        <f>"290000"</f>
        <v>290000</v>
      </c>
      <c r="J842" s="2">
        <v>45903</v>
      </c>
      <c r="K842" s="1" t="s">
        <v>2133</v>
      </c>
    </row>
    <row r="843" spans="1:11" x14ac:dyDescent="0.35">
      <c r="A843" s="3" t="s">
        <v>2114</v>
      </c>
      <c r="B843" s="1" t="s">
        <v>2115</v>
      </c>
      <c r="C843" s="1" t="s">
        <v>2119</v>
      </c>
      <c r="D843" s="1" t="str">
        <f>"6260"</f>
        <v>6260</v>
      </c>
      <c r="E843" s="1" t="str">
        <f>"011785559"</f>
        <v>011785559</v>
      </c>
      <c r="F843" s="1" t="s">
        <v>657</v>
      </c>
      <c r="G843" s="3" t="s">
        <v>290</v>
      </c>
      <c r="H843" s="3" t="str">
        <f>"13"</f>
        <v>13</v>
      </c>
      <c r="I843" s="4">
        <v>28.94</v>
      </c>
      <c r="J843" s="2">
        <v>45873</v>
      </c>
      <c r="K843" s="1" t="s">
        <v>2120</v>
      </c>
    </row>
    <row r="844" spans="1:11" x14ac:dyDescent="0.35">
      <c r="A844" s="3" t="s">
        <v>2114</v>
      </c>
      <c r="B844" s="1" t="s">
        <v>2134</v>
      </c>
      <c r="C844" s="1" t="s">
        <v>2135</v>
      </c>
      <c r="D844" s="1" t="str">
        <f>"6515"</f>
        <v>6515</v>
      </c>
      <c r="E844" s="1" t="str">
        <f>"016443686"</f>
        <v>016443686</v>
      </c>
      <c r="F844" s="1" t="s">
        <v>2136</v>
      </c>
      <c r="G844" s="3" t="s">
        <v>15</v>
      </c>
      <c r="H844" s="3" t="str">
        <f>"1"</f>
        <v>1</v>
      </c>
      <c r="I844" s="4" t="str">
        <f>"25578"</f>
        <v>25578</v>
      </c>
      <c r="J844" s="2">
        <v>45866</v>
      </c>
      <c r="K844" s="1" t="s">
        <v>2137</v>
      </c>
    </row>
    <row r="845" spans="1:11" x14ac:dyDescent="0.35">
      <c r="A845" s="3" t="s">
        <v>2145</v>
      </c>
      <c r="B845" s="1" t="s">
        <v>2153</v>
      </c>
      <c r="C845" s="1" t="s">
        <v>2158</v>
      </c>
      <c r="D845" s="1" t="str">
        <f>"2320"</f>
        <v>2320</v>
      </c>
      <c r="E845" s="1" t="s">
        <v>321</v>
      </c>
      <c r="F845" s="1" t="s">
        <v>322</v>
      </c>
      <c r="G845" s="3" t="s">
        <v>15</v>
      </c>
      <c r="H845" s="3" t="str">
        <f>"1"</f>
        <v>1</v>
      </c>
      <c r="I845" s="4" t="str">
        <f>"650000"</f>
        <v>650000</v>
      </c>
      <c r="J845" s="2">
        <v>45918</v>
      </c>
      <c r="K845" s="1" t="s">
        <v>2159</v>
      </c>
    </row>
    <row r="846" spans="1:11" x14ac:dyDescent="0.35">
      <c r="A846" s="3" t="s">
        <v>2145</v>
      </c>
      <c r="B846" s="1" t="s">
        <v>2220</v>
      </c>
      <c r="C846" s="1" t="s">
        <v>2229</v>
      </c>
      <c r="D846" s="1" t="str">
        <f>"2330"</f>
        <v>2330</v>
      </c>
      <c r="E846" s="1" t="str">
        <f>"014586865"</f>
        <v>014586865</v>
      </c>
      <c r="F846" s="1" t="s">
        <v>2230</v>
      </c>
      <c r="G846" s="3" t="s">
        <v>15</v>
      </c>
      <c r="H846" s="3" t="str">
        <f>"1"</f>
        <v>1</v>
      </c>
      <c r="I846" s="4" t="str">
        <f>"33156"</f>
        <v>33156</v>
      </c>
      <c r="J846" s="2">
        <v>45911</v>
      </c>
      <c r="K846" s="1" t="s">
        <v>2231</v>
      </c>
    </row>
    <row r="847" spans="1:11" x14ac:dyDescent="0.35">
      <c r="A847" s="3" t="s">
        <v>2145</v>
      </c>
      <c r="B847" s="1" t="s">
        <v>2220</v>
      </c>
      <c r="C847" s="1" t="s">
        <v>2232</v>
      </c>
      <c r="D847" s="1" t="str">
        <f>"2410"</f>
        <v>2410</v>
      </c>
      <c r="E847" s="1" t="str">
        <f>"001776851"</f>
        <v>001776851</v>
      </c>
      <c r="F847" s="1" t="s">
        <v>2233</v>
      </c>
      <c r="G847" s="3" t="s">
        <v>15</v>
      </c>
      <c r="H847" s="3" t="str">
        <f>"1"</f>
        <v>1</v>
      </c>
      <c r="I847" s="4" t="str">
        <f>"158799"</f>
        <v>158799</v>
      </c>
      <c r="J847" s="2">
        <v>45911</v>
      </c>
      <c r="K847" s="1" t="s">
        <v>2234</v>
      </c>
    </row>
    <row r="848" spans="1:11" x14ac:dyDescent="0.35">
      <c r="A848" s="3" t="s">
        <v>2145</v>
      </c>
      <c r="B848" s="1" t="s">
        <v>2237</v>
      </c>
      <c r="C848" s="1" t="s">
        <v>2238</v>
      </c>
      <c r="D848" s="1" t="str">
        <f>"2330"</f>
        <v>2330</v>
      </c>
      <c r="E848" s="1" t="s">
        <v>70</v>
      </c>
      <c r="F848" s="1" t="s">
        <v>71</v>
      </c>
      <c r="G848" s="3" t="s">
        <v>15</v>
      </c>
      <c r="H848" s="3" t="str">
        <f>"1"</f>
        <v>1</v>
      </c>
      <c r="I848" s="4" t="str">
        <f>"25000"</f>
        <v>25000</v>
      </c>
      <c r="J848" s="2">
        <v>45908</v>
      </c>
      <c r="K848" s="1" t="s">
        <v>2239</v>
      </c>
    </row>
    <row r="849" spans="1:11" x14ac:dyDescent="0.35">
      <c r="A849" s="3" t="s">
        <v>2145</v>
      </c>
      <c r="B849" s="1" t="s">
        <v>2237</v>
      </c>
      <c r="C849" s="1" t="s">
        <v>2240</v>
      </c>
      <c r="D849" s="1" t="str">
        <f>"2340"</f>
        <v>2340</v>
      </c>
      <c r="E849" s="1" t="s">
        <v>439</v>
      </c>
      <c r="F849" s="1" t="s">
        <v>440</v>
      </c>
      <c r="G849" s="3" t="s">
        <v>15</v>
      </c>
      <c r="H849" s="3" t="str">
        <f>"1"</f>
        <v>1</v>
      </c>
      <c r="I849" s="4" t="str">
        <f>"10633"</f>
        <v>10633</v>
      </c>
      <c r="J849" s="2">
        <v>45908</v>
      </c>
      <c r="K849" s="1" t="s">
        <v>2241</v>
      </c>
    </row>
    <row r="850" spans="1:11" x14ac:dyDescent="0.35">
      <c r="A850" s="3" t="s">
        <v>2145</v>
      </c>
      <c r="B850" s="1" t="s">
        <v>2153</v>
      </c>
      <c r="C850" s="1" t="s">
        <v>2180</v>
      </c>
      <c r="D850" s="1" t="str">
        <f>"5410"</f>
        <v>5410</v>
      </c>
      <c r="E850" s="1" t="str">
        <f>"013112895"</f>
        <v>013112895</v>
      </c>
      <c r="F850" s="1" t="s">
        <v>168</v>
      </c>
      <c r="G850" s="3" t="s">
        <v>15</v>
      </c>
      <c r="H850" s="3" t="str">
        <f>"4"</f>
        <v>4</v>
      </c>
      <c r="I850" s="4" t="str">
        <f>"21340"</f>
        <v>21340</v>
      </c>
      <c r="J850" s="2">
        <v>45895</v>
      </c>
      <c r="K850" s="1" t="s">
        <v>2181</v>
      </c>
    </row>
    <row r="851" spans="1:11" x14ac:dyDescent="0.35">
      <c r="A851" s="3" t="s">
        <v>2145</v>
      </c>
      <c r="B851" s="1" t="s">
        <v>2220</v>
      </c>
      <c r="C851" s="1" t="s">
        <v>2225</v>
      </c>
      <c r="D851" s="1" t="str">
        <f>"2320"</f>
        <v>2320</v>
      </c>
      <c r="E851" s="1" t="str">
        <f>"008518481"</f>
        <v>008518481</v>
      </c>
      <c r="F851" s="1" t="s">
        <v>114</v>
      </c>
      <c r="G851" s="3" t="s">
        <v>15</v>
      </c>
      <c r="H851" s="3" t="str">
        <f>"1"</f>
        <v>1</v>
      </c>
      <c r="I851" s="4" t="str">
        <f>"28829"</f>
        <v>28829</v>
      </c>
      <c r="J851" s="2">
        <v>45891</v>
      </c>
      <c r="K851" s="1" t="s">
        <v>2226</v>
      </c>
    </row>
    <row r="852" spans="1:11" x14ac:dyDescent="0.35">
      <c r="A852" s="3" t="s">
        <v>2145</v>
      </c>
      <c r="B852" s="1" t="s">
        <v>2220</v>
      </c>
      <c r="C852" s="1" t="s">
        <v>2227</v>
      </c>
      <c r="D852" s="1" t="str">
        <f>"2320"</f>
        <v>2320</v>
      </c>
      <c r="E852" s="1" t="str">
        <f>"011268357"</f>
        <v>011268357</v>
      </c>
      <c r="F852" s="1" t="s">
        <v>1448</v>
      </c>
      <c r="G852" s="3" t="s">
        <v>15</v>
      </c>
      <c r="H852" s="3" t="str">
        <f>"1"</f>
        <v>1</v>
      </c>
      <c r="I852" s="4" t="str">
        <f>"23795"</f>
        <v>23795</v>
      </c>
      <c r="J852" s="2">
        <v>45891</v>
      </c>
      <c r="K852" s="1" t="s">
        <v>2226</v>
      </c>
    </row>
    <row r="853" spans="1:11" x14ac:dyDescent="0.35">
      <c r="A853" s="3" t="s">
        <v>2145</v>
      </c>
      <c r="B853" s="1" t="s">
        <v>2220</v>
      </c>
      <c r="C853" s="1" t="s">
        <v>2228</v>
      </c>
      <c r="D853" s="1" t="str">
        <f>"2320"</f>
        <v>2320</v>
      </c>
      <c r="E853" s="1" t="str">
        <f>"014580380"</f>
        <v>014580380</v>
      </c>
      <c r="F853" s="1" t="s">
        <v>114</v>
      </c>
      <c r="G853" s="3" t="s">
        <v>15</v>
      </c>
      <c r="H853" s="3" t="str">
        <f>"1"</f>
        <v>1</v>
      </c>
      <c r="I853" s="4" t="str">
        <f>"38530"</f>
        <v>38530</v>
      </c>
      <c r="J853" s="2">
        <v>45891</v>
      </c>
      <c r="K853" s="1" t="s">
        <v>2226</v>
      </c>
    </row>
    <row r="854" spans="1:11" x14ac:dyDescent="0.35">
      <c r="A854" s="3" t="s">
        <v>2145</v>
      </c>
      <c r="B854" s="1" t="s">
        <v>2220</v>
      </c>
      <c r="C854" s="1" t="s">
        <v>2235</v>
      </c>
      <c r="D854" s="1" t="str">
        <f>"5180"</f>
        <v>5180</v>
      </c>
      <c r="E854" s="1" t="s">
        <v>1177</v>
      </c>
      <c r="F854" s="1" t="s">
        <v>1178</v>
      </c>
      <c r="G854" s="3" t="s">
        <v>15</v>
      </c>
      <c r="H854" s="3" t="str">
        <f>"1"</f>
        <v>1</v>
      </c>
      <c r="I854" s="4" t="str">
        <f>"3500"</f>
        <v>3500</v>
      </c>
      <c r="J854" s="2">
        <v>45891</v>
      </c>
      <c r="K854" s="1" t="s">
        <v>2236</v>
      </c>
    </row>
    <row r="855" spans="1:11" x14ac:dyDescent="0.35">
      <c r="A855" s="3" t="s">
        <v>2145</v>
      </c>
      <c r="B855" s="1" t="s">
        <v>2153</v>
      </c>
      <c r="C855" s="1" t="s">
        <v>2169</v>
      </c>
      <c r="D855" s="1" t="str">
        <f>"3805"</f>
        <v>3805</v>
      </c>
      <c r="E855" s="1" t="str">
        <f>"012171083"</f>
        <v>012171083</v>
      </c>
      <c r="F855" s="1" t="s">
        <v>2170</v>
      </c>
      <c r="G855" s="3" t="s">
        <v>15</v>
      </c>
      <c r="H855" s="3" t="str">
        <f>"1"</f>
        <v>1</v>
      </c>
      <c r="I855" s="4" t="str">
        <f>"230053"</f>
        <v>230053</v>
      </c>
      <c r="J855" s="2">
        <v>45889</v>
      </c>
      <c r="K855" s="1" t="s">
        <v>2171</v>
      </c>
    </row>
    <row r="856" spans="1:11" x14ac:dyDescent="0.35">
      <c r="A856" s="3" t="s">
        <v>2145</v>
      </c>
      <c r="B856" s="1" t="s">
        <v>2220</v>
      </c>
      <c r="C856" s="1" t="s">
        <v>2221</v>
      </c>
      <c r="D856" s="1" t="str">
        <f>"2310"</f>
        <v>2310</v>
      </c>
      <c r="E856" s="1" t="s">
        <v>2222</v>
      </c>
      <c r="F856" s="1" t="s">
        <v>2223</v>
      </c>
      <c r="G856" s="3" t="s">
        <v>15</v>
      </c>
      <c r="H856" s="3" t="str">
        <f>"1"</f>
        <v>1</v>
      </c>
      <c r="I856" s="4" t="str">
        <f>"3500"</f>
        <v>3500</v>
      </c>
      <c r="J856" s="2">
        <v>45889</v>
      </c>
      <c r="K856" s="1" t="s">
        <v>2224</v>
      </c>
    </row>
    <row r="857" spans="1:11" x14ac:dyDescent="0.35">
      <c r="A857" s="3" t="s">
        <v>2145</v>
      </c>
      <c r="B857" s="1" t="s">
        <v>2237</v>
      </c>
      <c r="C857" s="1" t="s">
        <v>2242</v>
      </c>
      <c r="D857" s="1" t="str">
        <f>"4220"</f>
        <v>4220</v>
      </c>
      <c r="E857" s="1" t="str">
        <f>"014851138"</f>
        <v>014851138</v>
      </c>
      <c r="F857" s="1" t="s">
        <v>158</v>
      </c>
      <c r="G857" s="3" t="s">
        <v>15</v>
      </c>
      <c r="H857" s="3" t="str">
        <f>"10"</f>
        <v>10</v>
      </c>
      <c r="I857" s="4">
        <v>556.55999999999995</v>
      </c>
      <c r="J857" s="2">
        <v>45883</v>
      </c>
      <c r="K857" s="1" t="s">
        <v>2243</v>
      </c>
    </row>
    <row r="858" spans="1:11" x14ac:dyDescent="0.35">
      <c r="A858" s="3" t="s">
        <v>2145</v>
      </c>
      <c r="B858" s="1" t="s">
        <v>2153</v>
      </c>
      <c r="C858" s="1" t="s">
        <v>2196</v>
      </c>
      <c r="D858" s="1" t="str">
        <f>"6150"</f>
        <v>6150</v>
      </c>
      <c r="E858" s="1" t="str">
        <f>"010226004"</f>
        <v>010226004</v>
      </c>
      <c r="F858" s="1" t="s">
        <v>2197</v>
      </c>
      <c r="G858" s="3" t="s">
        <v>15</v>
      </c>
      <c r="H858" s="3" t="str">
        <f>"6"</f>
        <v>6</v>
      </c>
      <c r="I858" s="4" t="str">
        <f>"511"</f>
        <v>511</v>
      </c>
      <c r="J858" s="2">
        <v>45880</v>
      </c>
      <c r="K858" s="1" t="s">
        <v>2198</v>
      </c>
    </row>
    <row r="859" spans="1:11" x14ac:dyDescent="0.35">
      <c r="A859" s="3" t="s">
        <v>2145</v>
      </c>
      <c r="B859" s="1" t="s">
        <v>2153</v>
      </c>
      <c r="C859" s="1" t="s">
        <v>2156</v>
      </c>
      <c r="D859" s="1" t="str">
        <f>"2320"</f>
        <v>2320</v>
      </c>
      <c r="E859" s="1" t="s">
        <v>321</v>
      </c>
      <c r="F859" s="1" t="s">
        <v>322</v>
      </c>
      <c r="G859" s="3" t="s">
        <v>15</v>
      </c>
      <c r="H859" s="3" t="str">
        <f>"1"</f>
        <v>1</v>
      </c>
      <c r="I859" s="4" t="str">
        <f>"34000"</f>
        <v>34000</v>
      </c>
      <c r="J859" s="2">
        <v>45877</v>
      </c>
      <c r="K859" s="1" t="s">
        <v>2157</v>
      </c>
    </row>
    <row r="860" spans="1:11" x14ac:dyDescent="0.35">
      <c r="A860" s="3" t="s">
        <v>2145</v>
      </c>
      <c r="B860" s="1" t="s">
        <v>2146</v>
      </c>
      <c r="C860" s="1" t="s">
        <v>2147</v>
      </c>
      <c r="D860" s="1" t="str">
        <f>"5855"</f>
        <v>5855</v>
      </c>
      <c r="E860" s="1" t="str">
        <f>"015847217"</f>
        <v>015847217</v>
      </c>
      <c r="F860" s="1" t="s">
        <v>1942</v>
      </c>
      <c r="G860" s="3" t="s">
        <v>15</v>
      </c>
      <c r="H860" s="3" t="str">
        <f>"14"</f>
        <v>14</v>
      </c>
      <c r="I860" s="4" t="str">
        <f>"35674"</f>
        <v>35674</v>
      </c>
      <c r="J860" s="2">
        <v>45873</v>
      </c>
      <c r="K860" s="1" t="s">
        <v>2148</v>
      </c>
    </row>
    <row r="861" spans="1:11" x14ac:dyDescent="0.35">
      <c r="A861" s="3" t="s">
        <v>2145</v>
      </c>
      <c r="B861" s="1" t="s">
        <v>2216</v>
      </c>
      <c r="C861" s="1" t="s">
        <v>2217</v>
      </c>
      <c r="D861" s="1" t="str">
        <f>"2310"</f>
        <v>2310</v>
      </c>
      <c r="E861" s="1" t="str">
        <f>"011112274"</f>
        <v>011112274</v>
      </c>
      <c r="F861" s="1" t="s">
        <v>2218</v>
      </c>
      <c r="G861" s="3" t="s">
        <v>15</v>
      </c>
      <c r="H861" s="3" t="str">
        <f>"1"</f>
        <v>1</v>
      </c>
      <c r="I861" s="4" t="str">
        <f>"96466"</f>
        <v>96466</v>
      </c>
      <c r="J861" s="2">
        <v>45869</v>
      </c>
      <c r="K861" s="1" t="s">
        <v>4313</v>
      </c>
    </row>
    <row r="862" spans="1:11" x14ac:dyDescent="0.35">
      <c r="A862" s="3" t="s">
        <v>2145</v>
      </c>
      <c r="B862" s="1" t="s">
        <v>2216</v>
      </c>
      <c r="C862" s="1" t="s">
        <v>2219</v>
      </c>
      <c r="D862" s="1" t="str">
        <f>"4240"</f>
        <v>4240</v>
      </c>
      <c r="E862" s="1" t="str">
        <f>"005744098"</f>
        <v>005744098</v>
      </c>
      <c r="F862" s="1" t="s">
        <v>1787</v>
      </c>
      <c r="G862" s="3" t="s">
        <v>15</v>
      </c>
      <c r="H862" s="3" t="str">
        <f>"1"</f>
        <v>1</v>
      </c>
      <c r="I862" s="4" t="str">
        <f>"4286"</f>
        <v>4286</v>
      </c>
      <c r="J862" s="2">
        <v>45869</v>
      </c>
      <c r="K862" s="1" t="s">
        <v>4313</v>
      </c>
    </row>
    <row r="863" spans="1:11" x14ac:dyDescent="0.35">
      <c r="A863" s="3" t="s">
        <v>2145</v>
      </c>
      <c r="B863" s="1" t="s">
        <v>2153</v>
      </c>
      <c r="C863" s="1" t="s">
        <v>2182</v>
      </c>
      <c r="D863" s="1" t="str">
        <f>"5820"</f>
        <v>5820</v>
      </c>
      <c r="E863" s="1" t="s">
        <v>2183</v>
      </c>
      <c r="F863" s="1" t="s">
        <v>2184</v>
      </c>
      <c r="G863" s="3" t="s">
        <v>15</v>
      </c>
      <c r="H863" s="3" t="str">
        <f>"1"</f>
        <v>1</v>
      </c>
      <c r="I863" s="4" t="str">
        <f>"500"</f>
        <v>500</v>
      </c>
      <c r="J863" s="2">
        <v>45866</v>
      </c>
      <c r="K863" s="1" t="s">
        <v>2185</v>
      </c>
    </row>
    <row r="864" spans="1:11" x14ac:dyDescent="0.35">
      <c r="A864" s="3" t="s">
        <v>2145</v>
      </c>
      <c r="B864" s="1" t="s">
        <v>2153</v>
      </c>
      <c r="C864" s="1" t="s">
        <v>2192</v>
      </c>
      <c r="D864" s="1" t="str">
        <f>"5965"</f>
        <v>5965</v>
      </c>
      <c r="E864" s="1" t="s">
        <v>2193</v>
      </c>
      <c r="F864" s="1" t="s">
        <v>2194</v>
      </c>
      <c r="G864" s="3" t="s">
        <v>15</v>
      </c>
      <c r="H864" s="3" t="str">
        <f>"2"</f>
        <v>2</v>
      </c>
      <c r="I864" s="4" t="str">
        <f>"130"</f>
        <v>130</v>
      </c>
      <c r="J864" s="2">
        <v>45860</v>
      </c>
      <c r="K864" s="1" t="s">
        <v>2195</v>
      </c>
    </row>
    <row r="865" spans="1:11" x14ac:dyDescent="0.35">
      <c r="A865" s="3" t="s">
        <v>2145</v>
      </c>
      <c r="B865" s="1" t="s">
        <v>2213</v>
      </c>
      <c r="C865" s="1" t="s">
        <v>2214</v>
      </c>
      <c r="D865" s="1" t="str">
        <f>"1385"</f>
        <v>1385</v>
      </c>
      <c r="E865" s="1" t="str">
        <f>"015936219"</f>
        <v>015936219</v>
      </c>
      <c r="F865" s="1" t="s">
        <v>67</v>
      </c>
      <c r="G865" s="3" t="s">
        <v>15</v>
      </c>
      <c r="H865" s="3" t="str">
        <f>"1"</f>
        <v>1</v>
      </c>
      <c r="I865" s="4" t="str">
        <f>"77000"</f>
        <v>77000</v>
      </c>
      <c r="J865" s="2">
        <v>45860</v>
      </c>
      <c r="K865" s="1" t="s">
        <v>2215</v>
      </c>
    </row>
    <row r="866" spans="1:11" x14ac:dyDescent="0.35">
      <c r="A866" s="3" t="s">
        <v>2145</v>
      </c>
      <c r="B866" s="1" t="s">
        <v>2149</v>
      </c>
      <c r="C866" s="1" t="s">
        <v>2150</v>
      </c>
      <c r="D866" s="1" t="str">
        <f>"5855"</f>
        <v>5855</v>
      </c>
      <c r="E866" s="1" t="str">
        <f>"015096871"</f>
        <v>015096871</v>
      </c>
      <c r="F866" s="1" t="s">
        <v>2151</v>
      </c>
      <c r="G866" s="3" t="s">
        <v>15</v>
      </c>
      <c r="H866" s="3" t="str">
        <f>"4"</f>
        <v>4</v>
      </c>
      <c r="I866" s="4" t="str">
        <f>"15264"</f>
        <v>15264</v>
      </c>
      <c r="J866" s="2">
        <v>45856</v>
      </c>
      <c r="K866" s="1" t="s">
        <v>2152</v>
      </c>
    </row>
    <row r="867" spans="1:11" x14ac:dyDescent="0.35">
      <c r="A867" s="3" t="s">
        <v>2145</v>
      </c>
      <c r="B867" s="1" t="s">
        <v>2153</v>
      </c>
      <c r="C867" s="1" t="s">
        <v>2160</v>
      </c>
      <c r="D867" s="1" t="str">
        <f>"2320"</f>
        <v>2320</v>
      </c>
      <c r="E867" s="1" t="s">
        <v>1871</v>
      </c>
      <c r="F867" s="1" t="s">
        <v>1872</v>
      </c>
      <c r="G867" s="3" t="s">
        <v>15</v>
      </c>
      <c r="H867" s="3" t="str">
        <f>"1"</f>
        <v>1</v>
      </c>
      <c r="I867" s="4">
        <v>25718.639999999999</v>
      </c>
      <c r="J867" s="2">
        <v>45849</v>
      </c>
      <c r="K867" s="1" t="s">
        <v>2161</v>
      </c>
    </row>
    <row r="868" spans="1:11" x14ac:dyDescent="0.35">
      <c r="A868" s="3" t="s">
        <v>2145</v>
      </c>
      <c r="B868" s="1" t="s">
        <v>2153</v>
      </c>
      <c r="C868" s="1" t="s">
        <v>2162</v>
      </c>
      <c r="D868" s="1" t="str">
        <f>"2320"</f>
        <v>2320</v>
      </c>
      <c r="E868" s="1" t="s">
        <v>321</v>
      </c>
      <c r="F868" s="1" t="s">
        <v>322</v>
      </c>
      <c r="G868" s="3" t="s">
        <v>15</v>
      </c>
      <c r="H868" s="3" t="str">
        <f>"1"</f>
        <v>1</v>
      </c>
      <c r="I868" s="4" t="str">
        <f>"92127"</f>
        <v>92127</v>
      </c>
      <c r="J868" s="2">
        <v>45849</v>
      </c>
      <c r="K868" s="1" t="s">
        <v>2163</v>
      </c>
    </row>
    <row r="869" spans="1:11" x14ac:dyDescent="0.35">
      <c r="A869" s="3" t="s">
        <v>2145</v>
      </c>
      <c r="B869" s="1" t="s">
        <v>2153</v>
      </c>
      <c r="C869" s="1" t="s">
        <v>2164</v>
      </c>
      <c r="D869" s="1" t="str">
        <f>"2320"</f>
        <v>2320</v>
      </c>
      <c r="E869" s="1" t="str">
        <f>"010907782"</f>
        <v>010907782</v>
      </c>
      <c r="F869" s="1" t="s">
        <v>1820</v>
      </c>
      <c r="G869" s="3" t="s">
        <v>15</v>
      </c>
      <c r="H869" s="3" t="str">
        <f>"1"</f>
        <v>1</v>
      </c>
      <c r="I869" s="4" t="str">
        <f>"30485"</f>
        <v>30485</v>
      </c>
      <c r="J869" s="2">
        <v>45849</v>
      </c>
      <c r="K869" s="1" t="s">
        <v>2165</v>
      </c>
    </row>
    <row r="870" spans="1:11" x14ac:dyDescent="0.35">
      <c r="A870" s="3" t="s">
        <v>2145</v>
      </c>
      <c r="B870" s="1" t="s">
        <v>2153</v>
      </c>
      <c r="C870" s="1" t="s">
        <v>2209</v>
      </c>
      <c r="D870" s="1" t="str">
        <f>"8465"</f>
        <v>8465</v>
      </c>
      <c r="E870" s="1" t="str">
        <f>"016046325"</f>
        <v>016046325</v>
      </c>
      <c r="F870" s="1" t="s">
        <v>2210</v>
      </c>
      <c r="G870" s="3" t="s">
        <v>19</v>
      </c>
      <c r="H870" s="3" t="str">
        <f>"2"</f>
        <v>2</v>
      </c>
      <c r="I870" s="4">
        <v>11407.95</v>
      </c>
      <c r="J870" s="2">
        <v>45849</v>
      </c>
      <c r="K870" s="1" t="s">
        <v>2211</v>
      </c>
    </row>
    <row r="871" spans="1:11" x14ac:dyDescent="0.35">
      <c r="A871" s="3" t="s">
        <v>2145</v>
      </c>
      <c r="B871" s="1" t="s">
        <v>2153</v>
      </c>
      <c r="C871" s="1" t="s">
        <v>2212</v>
      </c>
      <c r="D871" s="1" t="str">
        <f>"8465"</f>
        <v>8465</v>
      </c>
      <c r="E871" s="1" t="str">
        <f>"016046235"</f>
        <v>016046235</v>
      </c>
      <c r="F871" s="1" t="s">
        <v>2210</v>
      </c>
      <c r="G871" s="3" t="s">
        <v>19</v>
      </c>
      <c r="H871" s="3" t="str">
        <f>"1"</f>
        <v>1</v>
      </c>
      <c r="I871" s="4">
        <v>4965.7299999999996</v>
      </c>
      <c r="J871" s="2">
        <v>45849</v>
      </c>
      <c r="K871" s="1" t="s">
        <v>2211</v>
      </c>
    </row>
    <row r="872" spans="1:11" x14ac:dyDescent="0.35">
      <c r="A872" s="3" t="s">
        <v>2145</v>
      </c>
      <c r="B872" s="1" t="s">
        <v>2153</v>
      </c>
      <c r="C872" s="1" t="s">
        <v>2154</v>
      </c>
      <c r="D872" s="1" t="str">
        <f>"2310"</f>
        <v>2310</v>
      </c>
      <c r="E872" s="1" t="s">
        <v>413</v>
      </c>
      <c r="F872" s="1" t="s">
        <v>414</v>
      </c>
      <c r="G872" s="3" t="s">
        <v>15</v>
      </c>
      <c r="H872" s="3" t="str">
        <f>"1"</f>
        <v>1</v>
      </c>
      <c r="I872" s="4" t="str">
        <f>"25000"</f>
        <v>25000</v>
      </c>
      <c r="J872" s="2">
        <v>45848</v>
      </c>
      <c r="K872" s="1" t="s">
        <v>2155</v>
      </c>
    </row>
    <row r="873" spans="1:11" x14ac:dyDescent="0.35">
      <c r="A873" s="3" t="s">
        <v>2145</v>
      </c>
      <c r="B873" s="1" t="s">
        <v>2153</v>
      </c>
      <c r="C873" s="1" t="s">
        <v>2175</v>
      </c>
      <c r="D873" s="1" t="str">
        <f>"3930"</f>
        <v>3930</v>
      </c>
      <c r="E873" s="1" t="str">
        <f>"015085458"</f>
        <v>015085458</v>
      </c>
      <c r="F873" s="1" t="s">
        <v>2176</v>
      </c>
      <c r="G873" s="3" t="s">
        <v>15</v>
      </c>
      <c r="H873" s="3" t="str">
        <f>"1"</f>
        <v>1</v>
      </c>
      <c r="I873" s="4">
        <v>121987.35</v>
      </c>
      <c r="J873" s="2">
        <v>45848</v>
      </c>
      <c r="K873" s="1" t="s">
        <v>2177</v>
      </c>
    </row>
    <row r="874" spans="1:11" x14ac:dyDescent="0.35">
      <c r="A874" s="3" t="s">
        <v>2145</v>
      </c>
      <c r="B874" s="1" t="s">
        <v>2153</v>
      </c>
      <c r="C874" s="1" t="s">
        <v>2205</v>
      </c>
      <c r="D874" s="1" t="str">
        <f>"8145"</f>
        <v>8145</v>
      </c>
      <c r="E874" s="1" t="s">
        <v>2206</v>
      </c>
      <c r="F874" s="1" t="s">
        <v>2207</v>
      </c>
      <c r="G874" s="3" t="s">
        <v>15</v>
      </c>
      <c r="H874" s="3" t="str">
        <f>"1"</f>
        <v>1</v>
      </c>
      <c r="I874" s="4" t="str">
        <f>"10000"</f>
        <v>10000</v>
      </c>
      <c r="J874" s="2">
        <v>45848</v>
      </c>
      <c r="K874" s="1" t="s">
        <v>2208</v>
      </c>
    </row>
    <row r="875" spans="1:11" x14ac:dyDescent="0.35">
      <c r="A875" s="3" t="s">
        <v>2145</v>
      </c>
      <c r="B875" s="1" t="s">
        <v>2153</v>
      </c>
      <c r="C875" s="1" t="s">
        <v>2166</v>
      </c>
      <c r="D875" s="1" t="str">
        <f>"2340"</f>
        <v>2340</v>
      </c>
      <c r="E875" s="1" t="str">
        <f>"015714220"</f>
        <v>015714220</v>
      </c>
      <c r="F875" s="1" t="s">
        <v>2167</v>
      </c>
      <c r="G875" s="3" t="s">
        <v>15</v>
      </c>
      <c r="H875" s="3" t="str">
        <f>"1"</f>
        <v>1</v>
      </c>
      <c r="I875" s="4" t="str">
        <f>"14800"</f>
        <v>14800</v>
      </c>
      <c r="J875" s="2">
        <v>45846</v>
      </c>
      <c r="K875" s="1" t="s">
        <v>2168</v>
      </c>
    </row>
    <row r="876" spans="1:11" x14ac:dyDescent="0.35">
      <c r="A876" s="3" t="s">
        <v>2145</v>
      </c>
      <c r="B876" s="1" t="s">
        <v>2153</v>
      </c>
      <c r="C876" s="1" t="s">
        <v>2190</v>
      </c>
      <c r="D876" s="1" t="str">
        <f>"5855"</f>
        <v>5855</v>
      </c>
      <c r="E876" s="1" t="str">
        <f>"014732035"</f>
        <v>014732035</v>
      </c>
      <c r="F876" s="1" t="s">
        <v>2055</v>
      </c>
      <c r="G876" s="3" t="s">
        <v>15</v>
      </c>
      <c r="H876" s="3" t="str">
        <f>"9"</f>
        <v>9</v>
      </c>
      <c r="I876" s="4">
        <v>1161.92</v>
      </c>
      <c r="J876" s="2">
        <v>45846</v>
      </c>
      <c r="K876" s="1" t="s">
        <v>2191</v>
      </c>
    </row>
    <row r="877" spans="1:11" x14ac:dyDescent="0.35">
      <c r="A877" s="3" t="s">
        <v>2145</v>
      </c>
      <c r="B877" s="1" t="s">
        <v>2153</v>
      </c>
      <c r="C877" s="1" t="s">
        <v>2172</v>
      </c>
      <c r="D877" s="1" t="str">
        <f>"3930"</f>
        <v>3930</v>
      </c>
      <c r="E877" s="1" t="str">
        <f>"012991583"</f>
        <v>012991583</v>
      </c>
      <c r="F877" s="1" t="s">
        <v>2173</v>
      </c>
      <c r="G877" s="3" t="s">
        <v>15</v>
      </c>
      <c r="H877" s="3" t="str">
        <f>"1"</f>
        <v>1</v>
      </c>
      <c r="I877" s="4">
        <v>22803.57</v>
      </c>
      <c r="J877" s="2">
        <v>45841</v>
      </c>
      <c r="K877" s="1" t="s">
        <v>2174</v>
      </c>
    </row>
    <row r="878" spans="1:11" x14ac:dyDescent="0.35">
      <c r="A878" s="3" t="s">
        <v>2145</v>
      </c>
      <c r="B878" s="1" t="s">
        <v>2153</v>
      </c>
      <c r="C878" s="1" t="s">
        <v>2178</v>
      </c>
      <c r="D878" s="1" t="str">
        <f>"4910"</f>
        <v>4910</v>
      </c>
      <c r="E878" s="1" t="s">
        <v>1645</v>
      </c>
      <c r="F878" s="1" t="s">
        <v>1646</v>
      </c>
      <c r="G878" s="3" t="s">
        <v>15</v>
      </c>
      <c r="H878" s="3" t="str">
        <f>"20"</f>
        <v>20</v>
      </c>
      <c r="I878" s="4" t="str">
        <f>"150"</f>
        <v>150</v>
      </c>
      <c r="J878" s="2">
        <v>45841</v>
      </c>
      <c r="K878" s="1" t="s">
        <v>2179</v>
      </c>
    </row>
    <row r="879" spans="1:11" x14ac:dyDescent="0.35">
      <c r="A879" s="3" t="s">
        <v>2145</v>
      </c>
      <c r="B879" s="1" t="s">
        <v>2153</v>
      </c>
      <c r="C879" s="1" t="s">
        <v>2186</v>
      </c>
      <c r="D879" s="1" t="str">
        <f>"5836"</f>
        <v>5836</v>
      </c>
      <c r="E879" s="1" t="s">
        <v>2187</v>
      </c>
      <c r="F879" s="1" t="s">
        <v>2188</v>
      </c>
      <c r="G879" s="3" t="s">
        <v>15</v>
      </c>
      <c r="H879" s="3" t="str">
        <f>"1"</f>
        <v>1</v>
      </c>
      <c r="I879" s="4">
        <v>16699.84</v>
      </c>
      <c r="J879" s="2">
        <v>45840</v>
      </c>
      <c r="K879" s="1" t="s">
        <v>2189</v>
      </c>
    </row>
    <row r="880" spans="1:11" x14ac:dyDescent="0.35">
      <c r="A880" s="3" t="s">
        <v>2145</v>
      </c>
      <c r="B880" s="1" t="s">
        <v>2153</v>
      </c>
      <c r="C880" s="1" t="s">
        <v>2199</v>
      </c>
      <c r="D880" s="1" t="str">
        <f>"6210"</f>
        <v>6210</v>
      </c>
      <c r="E880" s="1" t="s">
        <v>2200</v>
      </c>
      <c r="F880" s="1" t="s">
        <v>2201</v>
      </c>
      <c r="G880" s="3" t="s">
        <v>15</v>
      </c>
      <c r="H880" s="3" t="str">
        <f>"1"</f>
        <v>1</v>
      </c>
      <c r="I880" s="4">
        <v>260.26</v>
      </c>
      <c r="J880" s="2">
        <v>45840</v>
      </c>
      <c r="K880" s="1" t="s">
        <v>2202</v>
      </c>
    </row>
    <row r="881" spans="1:11" x14ac:dyDescent="0.35">
      <c r="A881" s="3" t="s">
        <v>2145</v>
      </c>
      <c r="B881" s="1" t="s">
        <v>2153</v>
      </c>
      <c r="C881" s="1" t="s">
        <v>2203</v>
      </c>
      <c r="D881" s="1" t="str">
        <f>"6210"</f>
        <v>6210</v>
      </c>
      <c r="E881" s="1" t="s">
        <v>2200</v>
      </c>
      <c r="F881" s="1" t="s">
        <v>2201</v>
      </c>
      <c r="G881" s="3" t="s">
        <v>15</v>
      </c>
      <c r="H881" s="3" t="str">
        <f>"12"</f>
        <v>12</v>
      </c>
      <c r="I881" s="4">
        <v>260.26</v>
      </c>
      <c r="J881" s="2">
        <v>45840</v>
      </c>
      <c r="K881" s="1" t="s">
        <v>2204</v>
      </c>
    </row>
    <row r="882" spans="1:11" x14ac:dyDescent="0.35">
      <c r="A882" s="3" t="s">
        <v>2244</v>
      </c>
      <c r="B882" s="1" t="s">
        <v>2245</v>
      </c>
      <c r="C882" s="1" t="s">
        <v>2246</v>
      </c>
      <c r="D882" s="1" t="str">
        <f>"1385"</f>
        <v>1385</v>
      </c>
      <c r="E882" s="1" t="str">
        <f>"015744707"</f>
        <v>015744707</v>
      </c>
      <c r="F882" s="1" t="s">
        <v>2247</v>
      </c>
      <c r="G882" s="3" t="s">
        <v>15</v>
      </c>
      <c r="H882" s="3" t="str">
        <f>"1"</f>
        <v>1</v>
      </c>
      <c r="I882" s="4" t="str">
        <f>"10000"</f>
        <v>10000</v>
      </c>
      <c r="J882" s="2">
        <v>45904</v>
      </c>
      <c r="K882" s="1" t="s">
        <v>4313</v>
      </c>
    </row>
    <row r="883" spans="1:11" x14ac:dyDescent="0.35">
      <c r="A883" s="3" t="s">
        <v>2248</v>
      </c>
      <c r="B883" s="1" t="s">
        <v>2265</v>
      </c>
      <c r="C883" s="1" t="s">
        <v>2273</v>
      </c>
      <c r="D883" s="1" t="str">
        <f>"6720"</f>
        <v>6720</v>
      </c>
      <c r="E883" s="1" t="s">
        <v>443</v>
      </c>
      <c r="F883" s="1" t="s">
        <v>444</v>
      </c>
      <c r="G883" s="3" t="s">
        <v>15</v>
      </c>
      <c r="H883" s="3" t="str">
        <f>"1"</f>
        <v>1</v>
      </c>
      <c r="I883" s="4">
        <v>699.99</v>
      </c>
      <c r="J883" s="2">
        <v>45923</v>
      </c>
      <c r="K883" s="1" t="s">
        <v>2274</v>
      </c>
    </row>
    <row r="884" spans="1:11" x14ac:dyDescent="0.35">
      <c r="A884" s="3" t="s">
        <v>2248</v>
      </c>
      <c r="B884" s="1" t="s">
        <v>2357</v>
      </c>
      <c r="C884" s="1" t="s">
        <v>2360</v>
      </c>
      <c r="D884" s="1" t="str">
        <f>"2360"</f>
        <v>2360</v>
      </c>
      <c r="E884" s="1" t="str">
        <f>"015768653"</f>
        <v>015768653</v>
      </c>
      <c r="F884" s="1" t="s">
        <v>14</v>
      </c>
      <c r="G884" s="3" t="s">
        <v>15</v>
      </c>
      <c r="H884" s="3" t="str">
        <f>"1"</f>
        <v>1</v>
      </c>
      <c r="I884" s="4">
        <v>12704.58</v>
      </c>
      <c r="J884" s="2">
        <v>45919</v>
      </c>
      <c r="K884" s="1" t="s">
        <v>2361</v>
      </c>
    </row>
    <row r="885" spans="1:11" x14ac:dyDescent="0.35">
      <c r="A885" s="3" t="s">
        <v>2248</v>
      </c>
      <c r="B885" s="1" t="s">
        <v>2375</v>
      </c>
      <c r="C885" s="1" t="s">
        <v>2380</v>
      </c>
      <c r="D885" s="1" t="str">
        <f>"2320"</f>
        <v>2320</v>
      </c>
      <c r="E885" s="1" t="str">
        <f>"004634580"</f>
        <v>004634580</v>
      </c>
      <c r="F885" s="1" t="s">
        <v>1448</v>
      </c>
      <c r="G885" s="3" t="s">
        <v>15</v>
      </c>
      <c r="H885" s="3" t="str">
        <f>"1"</f>
        <v>1</v>
      </c>
      <c r="I885" s="4" t="str">
        <f>"99120"</f>
        <v>99120</v>
      </c>
      <c r="J885" s="2">
        <v>45917</v>
      </c>
      <c r="K885" s="1" t="s">
        <v>2381</v>
      </c>
    </row>
    <row r="886" spans="1:11" x14ac:dyDescent="0.35">
      <c r="A886" s="3" t="s">
        <v>2248</v>
      </c>
      <c r="B886" s="1" t="s">
        <v>2311</v>
      </c>
      <c r="C886" s="1" t="s">
        <v>2318</v>
      </c>
      <c r="D886" s="1" t="str">
        <f>"6115"</f>
        <v>6115</v>
      </c>
      <c r="E886" s="1" t="s">
        <v>174</v>
      </c>
      <c r="F886" s="1" t="s">
        <v>175</v>
      </c>
      <c r="G886" s="3" t="s">
        <v>15</v>
      </c>
      <c r="H886" s="3" t="str">
        <f>"4"</f>
        <v>4</v>
      </c>
      <c r="I886" s="4" t="str">
        <f>"3000"</f>
        <v>3000</v>
      </c>
      <c r="J886" s="2">
        <v>45916</v>
      </c>
      <c r="K886" s="1" t="s">
        <v>2319</v>
      </c>
    </row>
    <row r="887" spans="1:11" x14ac:dyDescent="0.35">
      <c r="A887" s="3" t="s">
        <v>2248</v>
      </c>
      <c r="B887" s="1" t="s">
        <v>2357</v>
      </c>
      <c r="C887" s="1" t="s">
        <v>2364</v>
      </c>
      <c r="D887" s="1" t="str">
        <f>"5855"</f>
        <v>5855</v>
      </c>
      <c r="E887" s="1" t="str">
        <f>"015790062"</f>
        <v>015790062</v>
      </c>
      <c r="F887" s="1" t="s">
        <v>703</v>
      </c>
      <c r="G887" s="3" t="s">
        <v>15</v>
      </c>
      <c r="H887" s="3" t="str">
        <f>"10"</f>
        <v>10</v>
      </c>
      <c r="I887" s="4" t="str">
        <f>"906"</f>
        <v>906</v>
      </c>
      <c r="J887" s="2">
        <v>45916</v>
      </c>
      <c r="K887" s="1" t="s">
        <v>2365</v>
      </c>
    </row>
    <row r="888" spans="1:11" x14ac:dyDescent="0.35">
      <c r="A888" s="3" t="s">
        <v>2248</v>
      </c>
      <c r="B888" s="1" t="s">
        <v>2357</v>
      </c>
      <c r="C888" s="1" t="s">
        <v>2362</v>
      </c>
      <c r="D888" s="1" t="str">
        <f>"5855"</f>
        <v>5855</v>
      </c>
      <c r="E888" s="1" t="str">
        <f>"014199429"</f>
        <v>014199429</v>
      </c>
      <c r="F888" s="1" t="s">
        <v>1942</v>
      </c>
      <c r="G888" s="3" t="s">
        <v>15</v>
      </c>
      <c r="H888" s="3" t="str">
        <f>"11"</f>
        <v>11</v>
      </c>
      <c r="I888" s="4" t="str">
        <f>"13610"</f>
        <v>13610</v>
      </c>
      <c r="J888" s="2">
        <v>45913</v>
      </c>
      <c r="K888" s="1" t="s">
        <v>2363</v>
      </c>
    </row>
    <row r="889" spans="1:11" x14ac:dyDescent="0.35">
      <c r="A889" s="3" t="s">
        <v>2248</v>
      </c>
      <c r="B889" s="1" t="s">
        <v>2375</v>
      </c>
      <c r="C889" s="1" t="s">
        <v>2376</v>
      </c>
      <c r="D889" s="1" t="str">
        <f>"2310"</f>
        <v>2310</v>
      </c>
      <c r="E889" s="1" t="s">
        <v>2377</v>
      </c>
      <c r="F889" s="1" t="s">
        <v>2378</v>
      </c>
      <c r="G889" s="3" t="s">
        <v>15</v>
      </c>
      <c r="H889" s="3" t="str">
        <f>"1"</f>
        <v>1</v>
      </c>
      <c r="I889" s="4" t="str">
        <f>"37900"</f>
        <v>37900</v>
      </c>
      <c r="J889" s="2">
        <v>45910</v>
      </c>
      <c r="K889" s="1" t="s">
        <v>2379</v>
      </c>
    </row>
    <row r="890" spans="1:11" x14ac:dyDescent="0.35">
      <c r="A890" s="3" t="s">
        <v>2248</v>
      </c>
      <c r="B890" s="1" t="s">
        <v>2375</v>
      </c>
      <c r="C890" s="1" t="s">
        <v>2396</v>
      </c>
      <c r="D890" s="1" t="str">
        <f>"5140"</f>
        <v>5140</v>
      </c>
      <c r="E890" s="1" t="s">
        <v>161</v>
      </c>
      <c r="F890" s="1" t="s">
        <v>162</v>
      </c>
      <c r="G890" s="3" t="s">
        <v>15</v>
      </c>
      <c r="H890" s="3" t="str">
        <f>"3"</f>
        <v>3</v>
      </c>
      <c r="I890" s="4" t="str">
        <f>"500"</f>
        <v>500</v>
      </c>
      <c r="J890" s="2">
        <v>45910</v>
      </c>
      <c r="K890" s="1" t="s">
        <v>2397</v>
      </c>
    </row>
    <row r="891" spans="1:11" x14ac:dyDescent="0.35">
      <c r="A891" s="3" t="s">
        <v>2248</v>
      </c>
      <c r="B891" s="1" t="s">
        <v>2414</v>
      </c>
      <c r="C891" s="1" t="s">
        <v>2415</v>
      </c>
      <c r="D891" s="1" t="str">
        <f>"1550"</f>
        <v>1550</v>
      </c>
      <c r="E891" s="1" t="str">
        <f>"015872765"</f>
        <v>015872765</v>
      </c>
      <c r="F891" s="1" t="s">
        <v>2416</v>
      </c>
      <c r="G891" s="3" t="s">
        <v>15</v>
      </c>
      <c r="H891" s="3" t="str">
        <f>"1"</f>
        <v>1</v>
      </c>
      <c r="I891" s="4" t="str">
        <f>"100000"</f>
        <v>100000</v>
      </c>
      <c r="J891" s="2">
        <v>45910</v>
      </c>
      <c r="K891" s="1" t="s">
        <v>2417</v>
      </c>
    </row>
    <row r="892" spans="1:11" x14ac:dyDescent="0.35">
      <c r="A892" s="3" t="s">
        <v>2248</v>
      </c>
      <c r="B892" s="1" t="s">
        <v>2414</v>
      </c>
      <c r="C892" s="1" t="s">
        <v>2419</v>
      </c>
      <c r="D892" s="1" t="str">
        <f>"1550"</f>
        <v>1550</v>
      </c>
      <c r="E892" s="1" t="str">
        <f>"015389256"</f>
        <v>015389256</v>
      </c>
      <c r="F892" s="1" t="s">
        <v>2416</v>
      </c>
      <c r="G892" s="3" t="s">
        <v>15</v>
      </c>
      <c r="H892" s="3" t="str">
        <f>"1"</f>
        <v>1</v>
      </c>
      <c r="I892" s="4" t="str">
        <f>"100000"</f>
        <v>100000</v>
      </c>
      <c r="J892" s="2">
        <v>45910</v>
      </c>
      <c r="K892" s="1" t="s">
        <v>2417</v>
      </c>
    </row>
    <row r="893" spans="1:11" x14ac:dyDescent="0.35">
      <c r="A893" s="3" t="s">
        <v>2248</v>
      </c>
      <c r="B893" s="1" t="s">
        <v>2414</v>
      </c>
      <c r="C893" s="1" t="s">
        <v>2420</v>
      </c>
      <c r="D893" s="1" t="str">
        <f>"1550"</f>
        <v>1550</v>
      </c>
      <c r="E893" s="1" t="str">
        <f>"016215533"</f>
        <v>016215533</v>
      </c>
      <c r="F893" s="1" t="s">
        <v>2334</v>
      </c>
      <c r="G893" s="3" t="s">
        <v>15</v>
      </c>
      <c r="H893" s="3" t="str">
        <f>"2"</f>
        <v>2</v>
      </c>
      <c r="I893" s="4" t="str">
        <f>"168000"</f>
        <v>168000</v>
      </c>
      <c r="J893" s="2">
        <v>45910</v>
      </c>
      <c r="K893" s="1" t="s">
        <v>2417</v>
      </c>
    </row>
    <row r="894" spans="1:11" x14ac:dyDescent="0.35">
      <c r="A894" s="3" t="s">
        <v>2248</v>
      </c>
      <c r="B894" s="1" t="s">
        <v>2424</v>
      </c>
      <c r="C894" s="1" t="s">
        <v>2425</v>
      </c>
      <c r="D894" s="1" t="str">
        <f>"2340"</f>
        <v>2340</v>
      </c>
      <c r="E894" s="1" t="s">
        <v>647</v>
      </c>
      <c r="F894" s="1" t="s">
        <v>648</v>
      </c>
      <c r="G894" s="3" t="s">
        <v>15</v>
      </c>
      <c r="H894" s="3" t="str">
        <f>"1"</f>
        <v>1</v>
      </c>
      <c r="I894" s="4" t="str">
        <f>"14918"</f>
        <v>14918</v>
      </c>
      <c r="J894" s="2">
        <v>45910</v>
      </c>
      <c r="K894" s="1" t="s">
        <v>2426</v>
      </c>
    </row>
    <row r="895" spans="1:11" x14ac:dyDescent="0.35">
      <c r="A895" s="3" t="s">
        <v>2248</v>
      </c>
      <c r="B895" s="1" t="s">
        <v>2249</v>
      </c>
      <c r="C895" s="1" t="s">
        <v>2257</v>
      </c>
      <c r="D895" s="1" t="str">
        <f>"8105"</f>
        <v>8105</v>
      </c>
      <c r="E895" s="1" t="s">
        <v>2258</v>
      </c>
      <c r="F895" s="1" t="s">
        <v>2259</v>
      </c>
      <c r="G895" s="3" t="s">
        <v>15</v>
      </c>
      <c r="H895" s="3" t="str">
        <f>"37"</f>
        <v>37</v>
      </c>
      <c r="I895" s="4" t="str">
        <f>"749"</f>
        <v>749</v>
      </c>
      <c r="J895" s="2">
        <v>45909</v>
      </c>
      <c r="K895" s="1" t="s">
        <v>2260</v>
      </c>
    </row>
    <row r="896" spans="1:11" x14ac:dyDescent="0.35">
      <c r="A896" s="3" t="s">
        <v>2248</v>
      </c>
      <c r="B896" s="1" t="s">
        <v>2275</v>
      </c>
      <c r="C896" s="1" t="s">
        <v>2276</v>
      </c>
      <c r="D896" s="1" t="str">
        <f>"1240"</f>
        <v>1240</v>
      </c>
      <c r="E896" s="1" t="str">
        <f>"014951385"</f>
        <v>014951385</v>
      </c>
      <c r="F896" s="1" t="s">
        <v>269</v>
      </c>
      <c r="G896" s="3" t="s">
        <v>15</v>
      </c>
      <c r="H896" s="3" t="str">
        <f>"52"</f>
        <v>52</v>
      </c>
      <c r="I896" s="4" t="str">
        <f>"536"</f>
        <v>536</v>
      </c>
      <c r="J896" s="2">
        <v>45908</v>
      </c>
      <c r="K896" s="1" t="s">
        <v>2277</v>
      </c>
    </row>
    <row r="897" spans="1:11" x14ac:dyDescent="0.35">
      <c r="A897" s="3" t="s">
        <v>2248</v>
      </c>
      <c r="B897" s="1" t="s">
        <v>2332</v>
      </c>
      <c r="C897" s="1" t="s">
        <v>2333</v>
      </c>
      <c r="D897" s="1" t="str">
        <f>"1550"</f>
        <v>1550</v>
      </c>
      <c r="E897" s="1" t="str">
        <f>"016215533"</f>
        <v>016215533</v>
      </c>
      <c r="F897" s="1" t="s">
        <v>2334</v>
      </c>
      <c r="G897" s="3" t="s">
        <v>15</v>
      </c>
      <c r="H897" s="3" t="str">
        <f>"4"</f>
        <v>4</v>
      </c>
      <c r="I897" s="4" t="str">
        <f>"168000"</f>
        <v>168000</v>
      </c>
      <c r="J897" s="2">
        <v>45908</v>
      </c>
      <c r="K897" s="1" t="s">
        <v>2335</v>
      </c>
    </row>
    <row r="898" spans="1:11" x14ac:dyDescent="0.35">
      <c r="A898" s="3" t="s">
        <v>2248</v>
      </c>
      <c r="B898" s="1" t="s">
        <v>2332</v>
      </c>
      <c r="C898" s="1" t="s">
        <v>2336</v>
      </c>
      <c r="D898" s="1" t="str">
        <f>"4220"</f>
        <v>4220</v>
      </c>
      <c r="E898" s="1" t="str">
        <f>"015357768"</f>
        <v>015357768</v>
      </c>
      <c r="F898" s="1" t="s">
        <v>158</v>
      </c>
      <c r="G898" s="3" t="s">
        <v>15</v>
      </c>
      <c r="H898" s="3" t="str">
        <f>"8"</f>
        <v>8</v>
      </c>
      <c r="I898" s="4">
        <v>438.59</v>
      </c>
      <c r="J898" s="2">
        <v>45908</v>
      </c>
      <c r="K898" s="1" t="s">
        <v>2337</v>
      </c>
    </row>
    <row r="899" spans="1:11" x14ac:dyDescent="0.35">
      <c r="A899" s="3" t="s">
        <v>2248</v>
      </c>
      <c r="B899" s="1" t="s">
        <v>2375</v>
      </c>
      <c r="C899" s="1" t="s">
        <v>2406</v>
      </c>
      <c r="D899" s="1" t="str">
        <f>"6115"</f>
        <v>6115</v>
      </c>
      <c r="E899" s="1" t="s">
        <v>174</v>
      </c>
      <c r="F899" s="1" t="s">
        <v>175</v>
      </c>
      <c r="G899" s="3" t="s">
        <v>15</v>
      </c>
      <c r="H899" s="3" t="str">
        <f>"4"</f>
        <v>4</v>
      </c>
      <c r="I899" s="4">
        <v>777.5</v>
      </c>
      <c r="J899" s="2">
        <v>45908</v>
      </c>
      <c r="K899" s="1" t="s">
        <v>2407</v>
      </c>
    </row>
    <row r="900" spans="1:11" x14ac:dyDescent="0.35">
      <c r="A900" s="3" t="s">
        <v>2248</v>
      </c>
      <c r="B900" s="1" t="s">
        <v>2265</v>
      </c>
      <c r="C900" s="1" t="s">
        <v>2268</v>
      </c>
      <c r="D900" s="1" t="str">
        <f>"5855"</f>
        <v>5855</v>
      </c>
      <c r="E900" s="1" t="str">
        <f>"014778738"</f>
        <v>014778738</v>
      </c>
      <c r="F900" s="1" t="s">
        <v>1942</v>
      </c>
      <c r="G900" s="3" t="s">
        <v>15</v>
      </c>
      <c r="H900" s="3" t="str">
        <f>"10"</f>
        <v>10</v>
      </c>
      <c r="I900" s="4" t="str">
        <f>"7830"</f>
        <v>7830</v>
      </c>
      <c r="J900" s="2">
        <v>45906</v>
      </c>
      <c r="K900" s="1" t="s">
        <v>2269</v>
      </c>
    </row>
    <row r="901" spans="1:11" x14ac:dyDescent="0.35">
      <c r="A901" s="3" t="s">
        <v>2248</v>
      </c>
      <c r="B901" s="1" t="s">
        <v>2265</v>
      </c>
      <c r="C901" s="1" t="s">
        <v>2270</v>
      </c>
      <c r="D901" s="1" t="str">
        <f>"5855"</f>
        <v>5855</v>
      </c>
      <c r="E901" s="1" t="str">
        <f>"016818941"</f>
        <v>016818941</v>
      </c>
      <c r="F901" s="1" t="s">
        <v>2271</v>
      </c>
      <c r="G901" s="3" t="s">
        <v>15</v>
      </c>
      <c r="H901" s="3" t="str">
        <f>"1"</f>
        <v>1</v>
      </c>
      <c r="I901" s="4" t="str">
        <f>"11000"</f>
        <v>11000</v>
      </c>
      <c r="J901" s="2">
        <v>45905</v>
      </c>
      <c r="K901" s="1" t="s">
        <v>2272</v>
      </c>
    </row>
    <row r="902" spans="1:11" x14ac:dyDescent="0.35">
      <c r="A902" s="3" t="s">
        <v>2248</v>
      </c>
      <c r="B902" s="1" t="s">
        <v>2311</v>
      </c>
      <c r="C902" s="1" t="s">
        <v>2314</v>
      </c>
      <c r="D902" s="1" t="str">
        <f>"5836"</f>
        <v>5836</v>
      </c>
      <c r="E902" s="1" t="s">
        <v>2315</v>
      </c>
      <c r="F902" s="1" t="s">
        <v>2316</v>
      </c>
      <c r="G902" s="3" t="s">
        <v>15</v>
      </c>
      <c r="H902" s="3" t="str">
        <f>"40"</f>
        <v>40</v>
      </c>
      <c r="I902" s="4">
        <v>26.99</v>
      </c>
      <c r="J902" s="2">
        <v>45904</v>
      </c>
      <c r="K902" s="1" t="s">
        <v>2317</v>
      </c>
    </row>
    <row r="903" spans="1:11" x14ac:dyDescent="0.35">
      <c r="A903" s="3" t="s">
        <v>2248</v>
      </c>
      <c r="B903" s="1" t="s">
        <v>2311</v>
      </c>
      <c r="C903" s="1" t="s">
        <v>2322</v>
      </c>
      <c r="D903" s="1" t="str">
        <f>"7025"</f>
        <v>7025</v>
      </c>
      <c r="E903" s="1" t="s">
        <v>2323</v>
      </c>
      <c r="F903" s="1" t="s">
        <v>2324</v>
      </c>
      <c r="G903" s="3" t="s">
        <v>15</v>
      </c>
      <c r="H903" s="3" t="str">
        <f>"40"</f>
        <v>40</v>
      </c>
      <c r="I903" s="4" t="str">
        <f>"400"</f>
        <v>400</v>
      </c>
      <c r="J903" s="2">
        <v>45904</v>
      </c>
      <c r="K903" s="1" t="s">
        <v>2325</v>
      </c>
    </row>
    <row r="904" spans="1:11" x14ac:dyDescent="0.35">
      <c r="A904" s="3" t="s">
        <v>2248</v>
      </c>
      <c r="B904" s="1" t="s">
        <v>2375</v>
      </c>
      <c r="C904" s="1" t="s">
        <v>2385</v>
      </c>
      <c r="D904" s="1" t="str">
        <f>"2340"</f>
        <v>2340</v>
      </c>
      <c r="E904" s="1" t="s">
        <v>647</v>
      </c>
      <c r="F904" s="1" t="s">
        <v>648</v>
      </c>
      <c r="G904" s="3" t="s">
        <v>15</v>
      </c>
      <c r="H904" s="3" t="str">
        <f>"1"</f>
        <v>1</v>
      </c>
      <c r="I904" s="4" t="str">
        <f>"14918"</f>
        <v>14918</v>
      </c>
      <c r="J904" s="2">
        <v>45903</v>
      </c>
      <c r="K904" s="1" t="s">
        <v>2386</v>
      </c>
    </row>
    <row r="905" spans="1:11" x14ac:dyDescent="0.35">
      <c r="A905" s="3" t="s">
        <v>2248</v>
      </c>
      <c r="B905" s="1" t="s">
        <v>2375</v>
      </c>
      <c r="C905" s="1" t="s">
        <v>2387</v>
      </c>
      <c r="D905" s="1" t="str">
        <f>"2340"</f>
        <v>2340</v>
      </c>
      <c r="E905" s="1" t="s">
        <v>647</v>
      </c>
      <c r="F905" s="1" t="s">
        <v>648</v>
      </c>
      <c r="G905" s="3" t="s">
        <v>15</v>
      </c>
      <c r="H905" s="3" t="str">
        <f>"1"</f>
        <v>1</v>
      </c>
      <c r="I905" s="4" t="str">
        <f>"14918"</f>
        <v>14918</v>
      </c>
      <c r="J905" s="2">
        <v>45903</v>
      </c>
      <c r="K905" s="1" t="s">
        <v>2388</v>
      </c>
    </row>
    <row r="906" spans="1:11" x14ac:dyDescent="0.35">
      <c r="A906" s="3" t="s">
        <v>2248</v>
      </c>
      <c r="B906" s="1" t="s">
        <v>2414</v>
      </c>
      <c r="C906" s="1" t="s">
        <v>2421</v>
      </c>
      <c r="D906" s="1" t="str">
        <f>"8465"</f>
        <v>8465</v>
      </c>
      <c r="E906" s="1" t="str">
        <f>"016419671"</f>
        <v>016419671</v>
      </c>
      <c r="F906" s="1" t="s">
        <v>2422</v>
      </c>
      <c r="G906" s="3" t="s">
        <v>15</v>
      </c>
      <c r="H906" s="3" t="str">
        <f>"20"</f>
        <v>20</v>
      </c>
      <c r="I906" s="4">
        <v>42.49</v>
      </c>
      <c r="J906" s="2">
        <v>45903</v>
      </c>
      <c r="K906" s="1" t="s">
        <v>2423</v>
      </c>
    </row>
    <row r="907" spans="1:11" x14ac:dyDescent="0.35">
      <c r="A907" s="3" t="s">
        <v>2248</v>
      </c>
      <c r="B907" s="1" t="s">
        <v>2357</v>
      </c>
      <c r="C907" s="1" t="s">
        <v>2368</v>
      </c>
      <c r="D907" s="1" t="str">
        <f>"5855"</f>
        <v>5855</v>
      </c>
      <c r="E907" s="1" t="str">
        <f>"015790062"</f>
        <v>015790062</v>
      </c>
      <c r="F907" s="1" t="s">
        <v>703</v>
      </c>
      <c r="G907" s="3" t="s">
        <v>15</v>
      </c>
      <c r="H907" s="3" t="str">
        <f>"11"</f>
        <v>11</v>
      </c>
      <c r="I907" s="4" t="str">
        <f>"906"</f>
        <v>906</v>
      </c>
      <c r="J907" s="2">
        <v>45902</v>
      </c>
      <c r="K907" s="1" t="s">
        <v>2369</v>
      </c>
    </row>
    <row r="908" spans="1:11" x14ac:dyDescent="0.35">
      <c r="A908" s="3" t="s">
        <v>2248</v>
      </c>
      <c r="B908" s="1" t="s">
        <v>2261</v>
      </c>
      <c r="C908" s="1" t="s">
        <v>2262</v>
      </c>
      <c r="D908" s="1" t="str">
        <f>"1940"</f>
        <v>1940</v>
      </c>
      <c r="E908" s="1" t="str">
        <f>"015991756"</f>
        <v>015991756</v>
      </c>
      <c r="F908" s="1" t="s">
        <v>2263</v>
      </c>
      <c r="G908" s="3" t="s">
        <v>15</v>
      </c>
      <c r="H908" s="3" t="str">
        <f>"3"</f>
        <v>3</v>
      </c>
      <c r="I908" s="4" t="str">
        <f>"10500"</f>
        <v>10500</v>
      </c>
      <c r="J908" s="2">
        <v>45897</v>
      </c>
      <c r="K908" s="1" t="s">
        <v>2264</v>
      </c>
    </row>
    <row r="909" spans="1:11" x14ac:dyDescent="0.35">
      <c r="A909" s="3" t="s">
        <v>2248</v>
      </c>
      <c r="B909" s="1" t="s">
        <v>2414</v>
      </c>
      <c r="C909" s="1" t="s">
        <v>2418</v>
      </c>
      <c r="D909" s="1" t="str">
        <f>"1550"</f>
        <v>1550</v>
      </c>
      <c r="E909" s="1" t="str">
        <f>"016515315"</f>
        <v>016515315</v>
      </c>
      <c r="F909" s="1" t="s">
        <v>2334</v>
      </c>
      <c r="G909" s="3" t="s">
        <v>19</v>
      </c>
      <c r="H909" s="3" t="str">
        <f>"1"</f>
        <v>1</v>
      </c>
      <c r="I909" s="4" t="str">
        <f>"6700"</f>
        <v>6700</v>
      </c>
      <c r="J909" s="2">
        <v>45897</v>
      </c>
      <c r="K909" s="1" t="s">
        <v>2417</v>
      </c>
    </row>
    <row r="910" spans="1:11" x14ac:dyDescent="0.35">
      <c r="A910" s="3" t="s">
        <v>2248</v>
      </c>
      <c r="B910" s="1" t="s">
        <v>2332</v>
      </c>
      <c r="C910" s="1" t="s">
        <v>2340</v>
      </c>
      <c r="D910" s="1" t="str">
        <f>"6115"</f>
        <v>6115</v>
      </c>
      <c r="E910" s="1" t="str">
        <f>"016122549"</f>
        <v>016122549</v>
      </c>
      <c r="F910" s="1" t="s">
        <v>1392</v>
      </c>
      <c r="G910" s="3" t="s">
        <v>15</v>
      </c>
      <c r="H910" s="3" t="str">
        <f>"3"</f>
        <v>3</v>
      </c>
      <c r="I910" s="4" t="str">
        <f>"7566"</f>
        <v>7566</v>
      </c>
      <c r="J910" s="2">
        <v>45896</v>
      </c>
      <c r="K910" s="1" t="s">
        <v>2341</v>
      </c>
    </row>
    <row r="911" spans="1:11" x14ac:dyDescent="0.35">
      <c r="A911" s="3" t="s">
        <v>2248</v>
      </c>
      <c r="B911" s="1" t="s">
        <v>2332</v>
      </c>
      <c r="C911" s="1" t="s">
        <v>2352</v>
      </c>
      <c r="D911" s="1" t="str">
        <f>"8465"</f>
        <v>8465</v>
      </c>
      <c r="E911" s="1" t="str">
        <f>"017024101"</f>
        <v>017024101</v>
      </c>
      <c r="F911" s="1" t="s">
        <v>2353</v>
      </c>
      <c r="G911" s="3" t="s">
        <v>847</v>
      </c>
      <c r="H911" s="3" t="str">
        <f>"24"</f>
        <v>24</v>
      </c>
      <c r="I911" s="4">
        <v>27.88</v>
      </c>
      <c r="J911" s="2">
        <v>45896</v>
      </c>
      <c r="K911" s="1" t="s">
        <v>2354</v>
      </c>
    </row>
    <row r="912" spans="1:11" x14ac:dyDescent="0.35">
      <c r="A912" s="3" t="s">
        <v>2248</v>
      </c>
      <c r="B912" s="1" t="s">
        <v>2332</v>
      </c>
      <c r="C912" s="1" t="s">
        <v>2355</v>
      </c>
      <c r="D912" s="1" t="str">
        <f>"8465"</f>
        <v>8465</v>
      </c>
      <c r="E912" s="1" t="str">
        <f>"017024101"</f>
        <v>017024101</v>
      </c>
      <c r="F912" s="1" t="s">
        <v>2353</v>
      </c>
      <c r="G912" s="3" t="s">
        <v>847</v>
      </c>
      <c r="H912" s="3" t="str">
        <f>"8"</f>
        <v>8</v>
      </c>
      <c r="I912" s="4">
        <v>27.88</v>
      </c>
      <c r="J912" s="2">
        <v>45896</v>
      </c>
      <c r="K912" s="1" t="s">
        <v>2356</v>
      </c>
    </row>
    <row r="913" spans="1:11" x14ac:dyDescent="0.35">
      <c r="A913" s="3" t="s">
        <v>2248</v>
      </c>
      <c r="B913" s="1" t="s">
        <v>2278</v>
      </c>
      <c r="C913" s="1" t="s">
        <v>2279</v>
      </c>
      <c r="D913" s="1" t="str">
        <f>"2330"</f>
        <v>2330</v>
      </c>
      <c r="E913" s="1" t="str">
        <f>"013899073"</f>
        <v>013899073</v>
      </c>
      <c r="F913" s="1" t="s">
        <v>1698</v>
      </c>
      <c r="G913" s="3" t="s">
        <v>15</v>
      </c>
      <c r="H913" s="3" t="str">
        <f>"1"</f>
        <v>1</v>
      </c>
      <c r="I913" s="4" t="str">
        <f>"16000"</f>
        <v>16000</v>
      </c>
      <c r="J913" s="2">
        <v>45890</v>
      </c>
      <c r="K913" s="1" t="s">
        <v>2280</v>
      </c>
    </row>
    <row r="914" spans="1:11" x14ac:dyDescent="0.35">
      <c r="A914" s="3" t="s">
        <v>2248</v>
      </c>
      <c r="B914" s="1" t="s">
        <v>2278</v>
      </c>
      <c r="C914" s="1" t="s">
        <v>2294</v>
      </c>
      <c r="D914" s="1" t="str">
        <f>"6115"</f>
        <v>6115</v>
      </c>
      <c r="E914" s="1" t="str">
        <f>"014743776"</f>
        <v>014743776</v>
      </c>
      <c r="F914" s="1" t="s">
        <v>1838</v>
      </c>
      <c r="G914" s="3" t="s">
        <v>15</v>
      </c>
      <c r="H914" s="3" t="str">
        <f>"1"</f>
        <v>1</v>
      </c>
      <c r="I914" s="4" t="str">
        <f>"96819"</f>
        <v>96819</v>
      </c>
      <c r="J914" s="2">
        <v>45890</v>
      </c>
      <c r="K914" s="1" t="s">
        <v>2295</v>
      </c>
    </row>
    <row r="915" spans="1:11" x14ac:dyDescent="0.35">
      <c r="A915" s="3" t="s">
        <v>2248</v>
      </c>
      <c r="B915" s="1" t="s">
        <v>2370</v>
      </c>
      <c r="C915" s="1" t="s">
        <v>2371</v>
      </c>
      <c r="D915" s="1" t="str">
        <f>"2320"</f>
        <v>2320</v>
      </c>
      <c r="E915" s="1" t="str">
        <f>"015187330"</f>
        <v>015187330</v>
      </c>
      <c r="F915" s="1" t="s">
        <v>604</v>
      </c>
      <c r="G915" s="3" t="s">
        <v>15</v>
      </c>
      <c r="H915" s="3" t="str">
        <f>"2"</f>
        <v>2</v>
      </c>
      <c r="I915" s="4" t="str">
        <f>"170994"</f>
        <v>170994</v>
      </c>
      <c r="J915" s="2">
        <v>45888</v>
      </c>
      <c r="K915" s="1" t="s">
        <v>2372</v>
      </c>
    </row>
    <row r="916" spans="1:11" x14ac:dyDescent="0.35">
      <c r="A916" s="3" t="s">
        <v>2248</v>
      </c>
      <c r="B916" s="1" t="s">
        <v>2370</v>
      </c>
      <c r="C916" s="1" t="s">
        <v>2373</v>
      </c>
      <c r="D916" s="1" t="str">
        <f>"6115"</f>
        <v>6115</v>
      </c>
      <c r="E916" s="1" t="str">
        <f>"012853012"</f>
        <v>012853012</v>
      </c>
      <c r="F916" s="1" t="s">
        <v>435</v>
      </c>
      <c r="G916" s="3" t="s">
        <v>15</v>
      </c>
      <c r="H916" s="3" t="str">
        <f>"1"</f>
        <v>1</v>
      </c>
      <c r="I916" s="4" t="str">
        <f>"44258"</f>
        <v>44258</v>
      </c>
      <c r="J916" s="2">
        <v>45888</v>
      </c>
      <c r="K916" s="1" t="s">
        <v>2374</v>
      </c>
    </row>
    <row r="917" spans="1:11" x14ac:dyDescent="0.35">
      <c r="A917" s="3" t="s">
        <v>2248</v>
      </c>
      <c r="B917" s="1" t="s">
        <v>2278</v>
      </c>
      <c r="C917" s="1" t="s">
        <v>2283</v>
      </c>
      <c r="D917" s="1" t="str">
        <f>"2420"</f>
        <v>2420</v>
      </c>
      <c r="E917" s="1" t="s">
        <v>405</v>
      </c>
      <c r="F917" s="1" t="s">
        <v>406</v>
      </c>
      <c r="G917" s="3" t="s">
        <v>15</v>
      </c>
      <c r="H917" s="3" t="str">
        <f>"1"</f>
        <v>1</v>
      </c>
      <c r="I917" s="4" t="str">
        <f>"41536"</f>
        <v>41536</v>
      </c>
      <c r="J917" s="2">
        <v>45883</v>
      </c>
      <c r="K917" s="1" t="s">
        <v>2284</v>
      </c>
    </row>
    <row r="918" spans="1:11" x14ac:dyDescent="0.35">
      <c r="A918" s="3" t="s">
        <v>2248</v>
      </c>
      <c r="B918" s="1" t="s">
        <v>2326</v>
      </c>
      <c r="C918" s="1" t="s">
        <v>2327</v>
      </c>
      <c r="D918" s="1" t="str">
        <f>"2320"</f>
        <v>2320</v>
      </c>
      <c r="E918" s="1" t="str">
        <f>"015761809"</f>
        <v>015761809</v>
      </c>
      <c r="F918" s="1" t="s">
        <v>1799</v>
      </c>
      <c r="G918" s="3" t="s">
        <v>15</v>
      </c>
      <c r="H918" s="3" t="str">
        <f>"1"</f>
        <v>1</v>
      </c>
      <c r="I918" s="4" t="str">
        <f>"13600"</f>
        <v>13600</v>
      </c>
      <c r="J918" s="2">
        <v>45882</v>
      </c>
      <c r="K918" s="1" t="s">
        <v>2328</v>
      </c>
    </row>
    <row r="919" spans="1:11" x14ac:dyDescent="0.35">
      <c r="A919" s="3" t="s">
        <v>2248</v>
      </c>
      <c r="B919" s="1" t="s">
        <v>2375</v>
      </c>
      <c r="C919" s="1" t="s">
        <v>2389</v>
      </c>
      <c r="D919" s="1" t="str">
        <f>"2530"</f>
        <v>2530</v>
      </c>
      <c r="E919" s="1" t="str">
        <f>"015582138"</f>
        <v>015582138</v>
      </c>
      <c r="F919" s="1" t="s">
        <v>1631</v>
      </c>
      <c r="G919" s="3" t="s">
        <v>1632</v>
      </c>
      <c r="H919" s="3" t="str">
        <f>"8"</f>
        <v>8</v>
      </c>
      <c r="I919" s="4" t="str">
        <f>"2386"</f>
        <v>2386</v>
      </c>
      <c r="J919" s="2">
        <v>45882</v>
      </c>
      <c r="K919" s="1" t="s">
        <v>2390</v>
      </c>
    </row>
    <row r="920" spans="1:11" x14ac:dyDescent="0.35">
      <c r="A920" s="3" t="s">
        <v>2248</v>
      </c>
      <c r="B920" s="1" t="s">
        <v>2375</v>
      </c>
      <c r="C920" s="1" t="s">
        <v>2391</v>
      </c>
      <c r="D920" s="1" t="str">
        <f>"4110"</f>
        <v>4110</v>
      </c>
      <c r="E920" s="1" t="str">
        <f>"016299593"</f>
        <v>016299593</v>
      </c>
      <c r="F920" s="1" t="s">
        <v>2392</v>
      </c>
      <c r="G920" s="3" t="s">
        <v>15</v>
      </c>
      <c r="H920" s="3" t="str">
        <f>"1"</f>
        <v>1</v>
      </c>
      <c r="I920" s="4">
        <v>19445.400000000001</v>
      </c>
      <c r="J920" s="2">
        <v>45882</v>
      </c>
      <c r="K920" s="1" t="s">
        <v>2393</v>
      </c>
    </row>
    <row r="921" spans="1:11" x14ac:dyDescent="0.35">
      <c r="A921" s="3" t="s">
        <v>2248</v>
      </c>
      <c r="B921" s="1" t="s">
        <v>2249</v>
      </c>
      <c r="C921" s="1" t="s">
        <v>2252</v>
      </c>
      <c r="D921" s="1" t="str">
        <f>"6720"</f>
        <v>6720</v>
      </c>
      <c r="E921" s="1" t="s">
        <v>443</v>
      </c>
      <c r="F921" s="1" t="s">
        <v>444</v>
      </c>
      <c r="G921" s="3" t="s">
        <v>15</v>
      </c>
      <c r="H921" s="3" t="str">
        <f>"6"</f>
        <v>6</v>
      </c>
      <c r="I921" s="4">
        <v>10463.66</v>
      </c>
      <c r="J921" s="2">
        <v>45881</v>
      </c>
      <c r="K921" s="1" t="s">
        <v>2253</v>
      </c>
    </row>
    <row r="922" spans="1:11" x14ac:dyDescent="0.35">
      <c r="A922" s="3" t="s">
        <v>2248</v>
      </c>
      <c r="B922" s="1" t="s">
        <v>2311</v>
      </c>
      <c r="C922" s="1" t="s">
        <v>2312</v>
      </c>
      <c r="D922" s="1" t="str">
        <f>"2320"</f>
        <v>2320</v>
      </c>
      <c r="E922" s="1" t="s">
        <v>1871</v>
      </c>
      <c r="F922" s="1" t="s">
        <v>1872</v>
      </c>
      <c r="G922" s="3" t="s">
        <v>15</v>
      </c>
      <c r="H922" s="3" t="str">
        <f>"1"</f>
        <v>1</v>
      </c>
      <c r="I922" s="4">
        <v>26701.39</v>
      </c>
      <c r="J922" s="2">
        <v>45880</v>
      </c>
      <c r="K922" s="1" t="s">
        <v>2313</v>
      </c>
    </row>
    <row r="923" spans="1:11" x14ac:dyDescent="0.35">
      <c r="A923" s="3" t="s">
        <v>2248</v>
      </c>
      <c r="B923" s="1" t="s">
        <v>2332</v>
      </c>
      <c r="C923" s="1" t="s">
        <v>2338</v>
      </c>
      <c r="D923" s="1" t="str">
        <f>"5855"</f>
        <v>5855</v>
      </c>
      <c r="E923" s="1" t="s">
        <v>285</v>
      </c>
      <c r="F923" s="1" t="s">
        <v>286</v>
      </c>
      <c r="G923" s="3" t="s">
        <v>15</v>
      </c>
      <c r="H923" s="3" t="str">
        <f>"3"</f>
        <v>3</v>
      </c>
      <c r="I923" s="4" t="str">
        <f>"15794"</f>
        <v>15794</v>
      </c>
      <c r="J923" s="2">
        <v>45880</v>
      </c>
      <c r="K923" s="1" t="s">
        <v>2339</v>
      </c>
    </row>
    <row r="924" spans="1:11" x14ac:dyDescent="0.35">
      <c r="A924" s="3" t="s">
        <v>2248</v>
      </c>
      <c r="B924" s="1" t="s">
        <v>2332</v>
      </c>
      <c r="C924" s="1" t="s">
        <v>2348</v>
      </c>
      <c r="D924" s="1" t="str">
        <f>"6730"</f>
        <v>6730</v>
      </c>
      <c r="E924" s="1" t="s">
        <v>2349</v>
      </c>
      <c r="F924" s="1" t="s">
        <v>2350</v>
      </c>
      <c r="G924" s="3" t="s">
        <v>15</v>
      </c>
      <c r="H924" s="3" t="str">
        <f>"2"</f>
        <v>2</v>
      </c>
      <c r="I924" s="4" t="str">
        <f>"1250"</f>
        <v>1250</v>
      </c>
      <c r="J924" s="2">
        <v>45880</v>
      </c>
      <c r="K924" s="1" t="s">
        <v>2351</v>
      </c>
    </row>
    <row r="925" spans="1:11" x14ac:dyDescent="0.35">
      <c r="A925" s="3" t="s">
        <v>2248</v>
      </c>
      <c r="B925" s="1" t="s">
        <v>2357</v>
      </c>
      <c r="C925" s="1" t="s">
        <v>2358</v>
      </c>
      <c r="D925" s="1" t="str">
        <f>"2360"</f>
        <v>2360</v>
      </c>
      <c r="E925" s="1" t="str">
        <f>"016629084"</f>
        <v>016629084</v>
      </c>
      <c r="F925" s="1" t="s">
        <v>14</v>
      </c>
      <c r="G925" s="3" t="s">
        <v>15</v>
      </c>
      <c r="H925" s="3" t="str">
        <f>"1"</f>
        <v>1</v>
      </c>
      <c r="I925" s="4" t="str">
        <f>"200000"</f>
        <v>200000</v>
      </c>
      <c r="J925" s="2">
        <v>45876</v>
      </c>
      <c r="K925" s="1" t="s">
        <v>2359</v>
      </c>
    </row>
    <row r="926" spans="1:11" x14ac:dyDescent="0.35">
      <c r="A926" s="3" t="s">
        <v>2248</v>
      </c>
      <c r="B926" s="1" t="s">
        <v>2278</v>
      </c>
      <c r="C926" s="1" t="s">
        <v>2303</v>
      </c>
      <c r="D926" s="1" t="str">
        <f>"8145"</f>
        <v>8145</v>
      </c>
      <c r="E926" s="1" t="str">
        <f>"015917441"</f>
        <v>015917441</v>
      </c>
      <c r="F926" s="1" t="s">
        <v>2304</v>
      </c>
      <c r="G926" s="3" t="s">
        <v>15</v>
      </c>
      <c r="H926" s="3" t="str">
        <f>"1"</f>
        <v>1</v>
      </c>
      <c r="I926" s="4">
        <v>84914.92</v>
      </c>
      <c r="J926" s="2">
        <v>45875</v>
      </c>
      <c r="K926" s="1" t="s">
        <v>2305</v>
      </c>
    </row>
    <row r="927" spans="1:11" x14ac:dyDescent="0.35">
      <c r="A927" s="3" t="s">
        <v>2248</v>
      </c>
      <c r="B927" s="1" t="s">
        <v>2375</v>
      </c>
      <c r="C927" s="1" t="s">
        <v>2408</v>
      </c>
      <c r="D927" s="1" t="str">
        <f>"6720"</f>
        <v>6720</v>
      </c>
      <c r="E927" s="1" t="s">
        <v>443</v>
      </c>
      <c r="F927" s="1" t="s">
        <v>444</v>
      </c>
      <c r="G927" s="3" t="s">
        <v>15</v>
      </c>
      <c r="H927" s="3" t="str">
        <f>"4"</f>
        <v>4</v>
      </c>
      <c r="I927" s="4">
        <v>10463.66</v>
      </c>
      <c r="J927" s="2">
        <v>45875</v>
      </c>
      <c r="K927" s="1" t="s">
        <v>2409</v>
      </c>
    </row>
    <row r="928" spans="1:11" x14ac:dyDescent="0.35">
      <c r="A928" s="3" t="s">
        <v>2248</v>
      </c>
      <c r="B928" s="1" t="s">
        <v>2278</v>
      </c>
      <c r="C928" s="1" t="s">
        <v>2281</v>
      </c>
      <c r="D928" s="1" t="str">
        <f>"2330"</f>
        <v>2330</v>
      </c>
      <c r="E928" s="1" t="s">
        <v>70</v>
      </c>
      <c r="F928" s="1" t="s">
        <v>71</v>
      </c>
      <c r="G928" s="3" t="s">
        <v>15</v>
      </c>
      <c r="H928" s="3" t="str">
        <f>"1"</f>
        <v>1</v>
      </c>
      <c r="I928" s="4" t="str">
        <f>"4094"</f>
        <v>4094</v>
      </c>
      <c r="J928" s="2">
        <v>45873</v>
      </c>
      <c r="K928" s="1" t="s">
        <v>2282</v>
      </c>
    </row>
    <row r="929" spans="1:11" x14ac:dyDescent="0.35">
      <c r="A929" s="3" t="s">
        <v>2248</v>
      </c>
      <c r="B929" s="1" t="s">
        <v>2278</v>
      </c>
      <c r="C929" s="1" t="s">
        <v>2292</v>
      </c>
      <c r="D929" s="1" t="str">
        <f>"5180"</f>
        <v>5180</v>
      </c>
      <c r="E929" s="1" t="str">
        <f>"015487634"</f>
        <v>015487634</v>
      </c>
      <c r="F929" s="1" t="s">
        <v>222</v>
      </c>
      <c r="G929" s="3" t="s">
        <v>58</v>
      </c>
      <c r="H929" s="3" t="str">
        <f>"8"</f>
        <v>8</v>
      </c>
      <c r="I929" s="4" t="str">
        <f>"2065"</f>
        <v>2065</v>
      </c>
      <c r="J929" s="2">
        <v>45873</v>
      </c>
      <c r="K929" s="1" t="s">
        <v>2293</v>
      </c>
    </row>
    <row r="930" spans="1:11" x14ac:dyDescent="0.35">
      <c r="A930" s="3" t="s">
        <v>2248</v>
      </c>
      <c r="B930" s="1" t="s">
        <v>2375</v>
      </c>
      <c r="C930" s="1" t="s">
        <v>2398</v>
      </c>
      <c r="D930" s="1" t="str">
        <f>"5855"</f>
        <v>5855</v>
      </c>
      <c r="E930" s="1" t="s">
        <v>285</v>
      </c>
      <c r="F930" s="1" t="s">
        <v>286</v>
      </c>
      <c r="G930" s="3" t="s">
        <v>15</v>
      </c>
      <c r="H930" s="3" t="str">
        <f>"25"</f>
        <v>25</v>
      </c>
      <c r="I930" s="4" t="str">
        <f>"10000"</f>
        <v>10000</v>
      </c>
      <c r="J930" s="2">
        <v>45868</v>
      </c>
      <c r="K930" s="1" t="s">
        <v>2399</v>
      </c>
    </row>
    <row r="931" spans="1:11" x14ac:dyDescent="0.35">
      <c r="A931" s="3" t="s">
        <v>2248</v>
      </c>
      <c r="B931" s="1" t="s">
        <v>2375</v>
      </c>
      <c r="C931" s="1" t="s">
        <v>2394</v>
      </c>
      <c r="D931" s="1" t="str">
        <f>"4240"</f>
        <v>4240</v>
      </c>
      <c r="E931" s="1" t="str">
        <f>"015700319"</f>
        <v>015700319</v>
      </c>
      <c r="F931" s="1" t="s">
        <v>830</v>
      </c>
      <c r="G931" s="3" t="s">
        <v>15</v>
      </c>
      <c r="H931" s="3" t="str">
        <f>"53"</f>
        <v>53</v>
      </c>
      <c r="I931" s="4">
        <v>39.07</v>
      </c>
      <c r="J931" s="2">
        <v>45867</v>
      </c>
      <c r="K931" s="1" t="s">
        <v>2395</v>
      </c>
    </row>
    <row r="932" spans="1:11" x14ac:dyDescent="0.35">
      <c r="A932" s="3" t="s">
        <v>2248</v>
      </c>
      <c r="B932" s="1" t="s">
        <v>2375</v>
      </c>
      <c r="C932" s="1" t="s">
        <v>2403</v>
      </c>
      <c r="D932" s="1" t="str">
        <f>"6115"</f>
        <v>6115</v>
      </c>
      <c r="E932" s="1" t="str">
        <f>"016283597"</f>
        <v>016283597</v>
      </c>
      <c r="F932" s="1" t="s">
        <v>2404</v>
      </c>
      <c r="G932" s="3" t="s">
        <v>15</v>
      </c>
      <c r="H932" s="3" t="str">
        <f>"1"</f>
        <v>1</v>
      </c>
      <c r="I932" s="4" t="str">
        <f>"4741"</f>
        <v>4741</v>
      </c>
      <c r="J932" s="2">
        <v>45867</v>
      </c>
      <c r="K932" s="1" t="s">
        <v>2405</v>
      </c>
    </row>
    <row r="933" spans="1:11" x14ac:dyDescent="0.35">
      <c r="A933" s="3" t="s">
        <v>2248</v>
      </c>
      <c r="B933" s="1" t="s">
        <v>2357</v>
      </c>
      <c r="C933" s="1" t="s">
        <v>2366</v>
      </c>
      <c r="D933" s="1" t="str">
        <f>"5855"</f>
        <v>5855</v>
      </c>
      <c r="E933" s="1" t="str">
        <f>"015847217"</f>
        <v>015847217</v>
      </c>
      <c r="F933" s="1" t="s">
        <v>1942</v>
      </c>
      <c r="G933" s="3" t="s">
        <v>15</v>
      </c>
      <c r="H933" s="3" t="str">
        <f>"13"</f>
        <v>13</v>
      </c>
      <c r="I933" s="4" t="str">
        <f>"35674"</f>
        <v>35674</v>
      </c>
      <c r="J933" s="2">
        <v>45864</v>
      </c>
      <c r="K933" s="1" t="s">
        <v>2367</v>
      </c>
    </row>
    <row r="934" spans="1:11" x14ac:dyDescent="0.35">
      <c r="A934" s="3" t="s">
        <v>2248</v>
      </c>
      <c r="B934" s="1" t="s">
        <v>2306</v>
      </c>
      <c r="C934" s="1" t="s">
        <v>2307</v>
      </c>
      <c r="D934" s="1" t="str">
        <f>"2540"</f>
        <v>2540</v>
      </c>
      <c r="E934" s="1" t="s">
        <v>2308</v>
      </c>
      <c r="F934" s="1" t="s">
        <v>2309</v>
      </c>
      <c r="G934" s="3" t="s">
        <v>15</v>
      </c>
      <c r="H934" s="3" t="str">
        <f>"1"</f>
        <v>1</v>
      </c>
      <c r="I934" s="4" t="str">
        <f>"650"</f>
        <v>650</v>
      </c>
      <c r="J934" s="2">
        <v>45862</v>
      </c>
      <c r="K934" s="1" t="s">
        <v>2310</v>
      </c>
    </row>
    <row r="935" spans="1:11" x14ac:dyDescent="0.35">
      <c r="A935" s="3" t="s">
        <v>2248</v>
      </c>
      <c r="B935" s="1" t="s">
        <v>2249</v>
      </c>
      <c r="C935" s="1" t="s">
        <v>2250</v>
      </c>
      <c r="D935" s="1" t="str">
        <f>"6230"</f>
        <v>6230</v>
      </c>
      <c r="E935" s="1" t="str">
        <f>"015493979"</f>
        <v>015493979</v>
      </c>
      <c r="F935" s="1" t="s">
        <v>538</v>
      </c>
      <c r="G935" s="3" t="s">
        <v>15</v>
      </c>
      <c r="H935" s="3" t="str">
        <f>"6"</f>
        <v>6</v>
      </c>
      <c r="I935" s="4">
        <v>4295.8100000000004</v>
      </c>
      <c r="J935" s="2">
        <v>45861</v>
      </c>
      <c r="K935" s="1" t="s">
        <v>2251</v>
      </c>
    </row>
    <row r="936" spans="1:11" x14ac:dyDescent="0.35">
      <c r="A936" s="3" t="s">
        <v>2248</v>
      </c>
      <c r="B936" s="1" t="s">
        <v>2249</v>
      </c>
      <c r="C936" s="1" t="s">
        <v>2254</v>
      </c>
      <c r="D936" s="1" t="str">
        <f>"7010"</f>
        <v>7010</v>
      </c>
      <c r="E936" s="1" t="str">
        <f>"016167730"</f>
        <v>016167730</v>
      </c>
      <c r="F936" s="1" t="s">
        <v>2255</v>
      </c>
      <c r="G936" s="3" t="s">
        <v>15</v>
      </c>
      <c r="H936" s="3" t="str">
        <f>"10"</f>
        <v>10</v>
      </c>
      <c r="I936" s="4">
        <v>5360.03</v>
      </c>
      <c r="J936" s="2">
        <v>45861</v>
      </c>
      <c r="K936" s="1" t="s">
        <v>2256</v>
      </c>
    </row>
    <row r="937" spans="1:11" x14ac:dyDescent="0.35">
      <c r="A937" s="3" t="s">
        <v>2248</v>
      </c>
      <c r="B937" s="1" t="s">
        <v>2278</v>
      </c>
      <c r="C937" s="1" t="s">
        <v>2285</v>
      </c>
      <c r="D937" s="1" t="str">
        <f>"3750"</f>
        <v>3750</v>
      </c>
      <c r="E937" s="1" t="s">
        <v>583</v>
      </c>
      <c r="F937" s="1" t="s">
        <v>584</v>
      </c>
      <c r="G937" s="3" t="s">
        <v>15</v>
      </c>
      <c r="H937" s="3" t="str">
        <f>"1"</f>
        <v>1</v>
      </c>
      <c r="I937" s="4" t="str">
        <f>"20588"</f>
        <v>20588</v>
      </c>
      <c r="J937" s="2">
        <v>45860</v>
      </c>
      <c r="K937" s="1" t="s">
        <v>2286</v>
      </c>
    </row>
    <row r="938" spans="1:11" x14ac:dyDescent="0.35">
      <c r="A938" s="3" t="s">
        <v>2248</v>
      </c>
      <c r="B938" s="1" t="s">
        <v>2278</v>
      </c>
      <c r="C938" s="1" t="s">
        <v>2287</v>
      </c>
      <c r="D938" s="1" t="str">
        <f>"3830"</f>
        <v>3830</v>
      </c>
      <c r="E938" s="1" t="s">
        <v>2288</v>
      </c>
      <c r="F938" s="1" t="s">
        <v>2289</v>
      </c>
      <c r="G938" s="3" t="s">
        <v>15</v>
      </c>
      <c r="H938" s="3" t="str">
        <f>"1"</f>
        <v>1</v>
      </c>
      <c r="I938" s="4" t="str">
        <f>"300"</f>
        <v>300</v>
      </c>
      <c r="J938" s="2">
        <v>45860</v>
      </c>
      <c r="K938" s="1" t="s">
        <v>2286</v>
      </c>
    </row>
    <row r="939" spans="1:11" x14ac:dyDescent="0.35">
      <c r="A939" s="3" t="s">
        <v>2248</v>
      </c>
      <c r="B939" s="1" t="s">
        <v>2278</v>
      </c>
      <c r="C939" s="1" t="s">
        <v>2290</v>
      </c>
      <c r="D939" s="1" t="str">
        <f>"3920"</f>
        <v>3920</v>
      </c>
      <c r="E939" s="1" t="s">
        <v>486</v>
      </c>
      <c r="F939" s="1" t="s">
        <v>487</v>
      </c>
      <c r="G939" s="3" t="s">
        <v>15</v>
      </c>
      <c r="H939" s="3" t="str">
        <f>"2"</f>
        <v>2</v>
      </c>
      <c r="I939" s="4" t="str">
        <f>"44335"</f>
        <v>44335</v>
      </c>
      <c r="J939" s="2">
        <v>45860</v>
      </c>
      <c r="K939" s="1" t="s">
        <v>2291</v>
      </c>
    </row>
    <row r="940" spans="1:11" x14ac:dyDescent="0.35">
      <c r="A940" s="3" t="s">
        <v>2248</v>
      </c>
      <c r="B940" s="1" t="s">
        <v>2278</v>
      </c>
      <c r="C940" s="1" t="s">
        <v>2296</v>
      </c>
      <c r="D940" s="1" t="str">
        <f>"6650"</f>
        <v>6650</v>
      </c>
      <c r="E940" s="1" t="str">
        <f>"005300973"</f>
        <v>005300973</v>
      </c>
      <c r="F940" s="1" t="s">
        <v>868</v>
      </c>
      <c r="G940" s="3" t="s">
        <v>15</v>
      </c>
      <c r="H940" s="3" t="str">
        <f>"4"</f>
        <v>4</v>
      </c>
      <c r="I940" s="4" t="str">
        <f>"230"</f>
        <v>230</v>
      </c>
      <c r="J940" s="2">
        <v>45860</v>
      </c>
      <c r="K940" s="1" t="s">
        <v>2297</v>
      </c>
    </row>
    <row r="941" spans="1:11" x14ac:dyDescent="0.35">
      <c r="A941" s="3" t="s">
        <v>2248</v>
      </c>
      <c r="B941" s="1" t="s">
        <v>2278</v>
      </c>
      <c r="C941" s="1" t="s">
        <v>2298</v>
      </c>
      <c r="D941" s="1" t="str">
        <f>"7210"</f>
        <v>7210</v>
      </c>
      <c r="E941" s="1" t="str">
        <f>"002669736"</f>
        <v>002669736</v>
      </c>
      <c r="F941" s="1" t="s">
        <v>2299</v>
      </c>
      <c r="G941" s="3" t="s">
        <v>15</v>
      </c>
      <c r="H941" s="3" t="str">
        <f>"5"</f>
        <v>5</v>
      </c>
      <c r="I941" s="4">
        <v>97.59</v>
      </c>
      <c r="J941" s="2">
        <v>45860</v>
      </c>
      <c r="K941" s="1" t="s">
        <v>2300</v>
      </c>
    </row>
    <row r="942" spans="1:11" x14ac:dyDescent="0.35">
      <c r="A942" s="3" t="s">
        <v>2248</v>
      </c>
      <c r="B942" s="1" t="s">
        <v>2278</v>
      </c>
      <c r="C942" s="1" t="s">
        <v>2301</v>
      </c>
      <c r="D942" s="1" t="str">
        <f>"8145"</f>
        <v>8145</v>
      </c>
      <c r="E942" s="1" t="str">
        <f>"014653687"</f>
        <v>014653687</v>
      </c>
      <c r="F942" s="1" t="s">
        <v>1353</v>
      </c>
      <c r="G942" s="3" t="s">
        <v>15</v>
      </c>
      <c r="H942" s="3" t="str">
        <f>"1"</f>
        <v>1</v>
      </c>
      <c r="I942" s="4">
        <v>21325.63</v>
      </c>
      <c r="J942" s="2">
        <v>45860</v>
      </c>
      <c r="K942" s="1" t="s">
        <v>2302</v>
      </c>
    </row>
    <row r="943" spans="1:11" x14ac:dyDescent="0.35">
      <c r="A943" s="3" t="s">
        <v>2248</v>
      </c>
      <c r="B943" s="1" t="s">
        <v>2329</v>
      </c>
      <c r="C943" s="1" t="s">
        <v>2330</v>
      </c>
      <c r="D943" s="1" t="str">
        <f>"8340"</f>
        <v>8340</v>
      </c>
      <c r="E943" s="1" t="str">
        <f>"015378713"</f>
        <v>015378713</v>
      </c>
      <c r="F943" s="1" t="s">
        <v>957</v>
      </c>
      <c r="G943" s="3" t="s">
        <v>15</v>
      </c>
      <c r="H943" s="3" t="str">
        <f>"1"</f>
        <v>1</v>
      </c>
      <c r="I943" s="4">
        <v>351433.6</v>
      </c>
      <c r="J943" s="2">
        <v>45855</v>
      </c>
      <c r="K943" s="1" t="s">
        <v>2331</v>
      </c>
    </row>
    <row r="944" spans="1:11" x14ac:dyDescent="0.35">
      <c r="A944" s="3" t="s">
        <v>2248</v>
      </c>
      <c r="B944" s="1" t="s">
        <v>2265</v>
      </c>
      <c r="C944" s="1" t="s">
        <v>2266</v>
      </c>
      <c r="D944" s="1" t="str">
        <f>"5855"</f>
        <v>5855</v>
      </c>
      <c r="E944" s="1" t="str">
        <f>"015345931"</f>
        <v>015345931</v>
      </c>
      <c r="F944" s="1" t="s">
        <v>703</v>
      </c>
      <c r="G944" s="3" t="s">
        <v>15</v>
      </c>
      <c r="H944" s="3" t="str">
        <f>"20"</f>
        <v>20</v>
      </c>
      <c r="I944" s="4" t="str">
        <f>"976"</f>
        <v>976</v>
      </c>
      <c r="J944" s="2">
        <v>45854</v>
      </c>
      <c r="K944" s="1" t="s">
        <v>2267</v>
      </c>
    </row>
    <row r="945" spans="1:11" x14ac:dyDescent="0.35">
      <c r="A945" s="3" t="s">
        <v>2248</v>
      </c>
      <c r="B945" s="1" t="s">
        <v>2332</v>
      </c>
      <c r="C945" s="1" t="s">
        <v>2342</v>
      </c>
      <c r="D945" s="1" t="str">
        <f>"6515"</f>
        <v>6515</v>
      </c>
      <c r="E945" s="1" t="str">
        <f>"015217976"</f>
        <v>015217976</v>
      </c>
      <c r="F945" s="1" t="s">
        <v>2343</v>
      </c>
      <c r="G945" s="3" t="s">
        <v>15</v>
      </c>
      <c r="H945" s="3" t="str">
        <f>"53"</f>
        <v>53</v>
      </c>
      <c r="I945" s="4">
        <v>40.340000000000003</v>
      </c>
      <c r="J945" s="2">
        <v>45853</v>
      </c>
      <c r="K945" s="1" t="s">
        <v>2344</v>
      </c>
    </row>
    <row r="946" spans="1:11" x14ac:dyDescent="0.35">
      <c r="A946" s="3" t="s">
        <v>2248</v>
      </c>
      <c r="B946" s="1" t="s">
        <v>2332</v>
      </c>
      <c r="C946" s="1" t="s">
        <v>2345</v>
      </c>
      <c r="D946" s="1" t="str">
        <f>"6515"</f>
        <v>6515</v>
      </c>
      <c r="E946" s="1" t="str">
        <f>"015996735"</f>
        <v>015996735</v>
      </c>
      <c r="F946" s="1" t="s">
        <v>2346</v>
      </c>
      <c r="G946" s="3" t="s">
        <v>15</v>
      </c>
      <c r="H946" s="3" t="str">
        <f>"40"</f>
        <v>40</v>
      </c>
      <c r="I946" s="4">
        <v>9.98</v>
      </c>
      <c r="J946" s="2">
        <v>45853</v>
      </c>
      <c r="K946" s="1" t="s">
        <v>2347</v>
      </c>
    </row>
    <row r="947" spans="1:11" x14ac:dyDescent="0.35">
      <c r="A947" s="3" t="s">
        <v>2248</v>
      </c>
      <c r="B947" s="1" t="s">
        <v>2311</v>
      </c>
      <c r="C947" s="1" t="s">
        <v>2320</v>
      </c>
      <c r="D947" s="1" t="str">
        <f>"6115"</f>
        <v>6115</v>
      </c>
      <c r="E947" s="1" t="s">
        <v>174</v>
      </c>
      <c r="F947" s="1" t="s">
        <v>175</v>
      </c>
      <c r="G947" s="3" t="s">
        <v>15</v>
      </c>
      <c r="H947" s="3" t="str">
        <f>"2"</f>
        <v>2</v>
      </c>
      <c r="I947" s="4" t="str">
        <f>"16160"</f>
        <v>16160</v>
      </c>
      <c r="J947" s="2">
        <v>45849</v>
      </c>
      <c r="K947" s="1" t="s">
        <v>2321</v>
      </c>
    </row>
    <row r="948" spans="1:11" x14ac:dyDescent="0.35">
      <c r="A948" s="3" t="s">
        <v>2248</v>
      </c>
      <c r="B948" s="1" t="s">
        <v>2427</v>
      </c>
      <c r="C948" s="1" t="s">
        <v>2428</v>
      </c>
      <c r="D948" s="1" t="str">
        <f>"8460"</f>
        <v>8460</v>
      </c>
      <c r="E948" s="1" t="s">
        <v>2429</v>
      </c>
      <c r="F948" s="1" t="s">
        <v>2430</v>
      </c>
      <c r="G948" s="3" t="s">
        <v>15</v>
      </c>
      <c r="H948" s="3" t="str">
        <f>"20"</f>
        <v>20</v>
      </c>
      <c r="I948" s="4" t="str">
        <f>"35"</f>
        <v>35</v>
      </c>
      <c r="J948" s="2">
        <v>45849</v>
      </c>
      <c r="K948" s="1" t="s">
        <v>2431</v>
      </c>
    </row>
    <row r="949" spans="1:11" x14ac:dyDescent="0.35">
      <c r="A949" s="3" t="s">
        <v>2248</v>
      </c>
      <c r="B949" s="1" t="s">
        <v>2427</v>
      </c>
      <c r="C949" s="1" t="s">
        <v>2432</v>
      </c>
      <c r="D949" s="1" t="str">
        <f>"8465"</f>
        <v>8465</v>
      </c>
      <c r="E949" s="1" t="str">
        <f>"016046325"</f>
        <v>016046325</v>
      </c>
      <c r="F949" s="1" t="s">
        <v>2210</v>
      </c>
      <c r="G949" s="3" t="s">
        <v>19</v>
      </c>
      <c r="H949" s="3" t="str">
        <f>"2"</f>
        <v>2</v>
      </c>
      <c r="I949" s="4">
        <v>11407.95</v>
      </c>
      <c r="J949" s="2">
        <v>45849</v>
      </c>
      <c r="K949" s="1" t="s">
        <v>2433</v>
      </c>
    </row>
    <row r="950" spans="1:11" x14ac:dyDescent="0.35">
      <c r="A950" s="3" t="s">
        <v>2248</v>
      </c>
      <c r="B950" s="1" t="s">
        <v>2427</v>
      </c>
      <c r="C950" s="1" t="s">
        <v>2434</v>
      </c>
      <c r="D950" s="1" t="str">
        <f>"8465"</f>
        <v>8465</v>
      </c>
      <c r="E950" s="1" t="str">
        <f>"016046325"</f>
        <v>016046325</v>
      </c>
      <c r="F950" s="1" t="s">
        <v>2210</v>
      </c>
      <c r="G950" s="3" t="s">
        <v>19</v>
      </c>
      <c r="H950" s="3" t="str">
        <f>"1"</f>
        <v>1</v>
      </c>
      <c r="I950" s="4">
        <v>11407.95</v>
      </c>
      <c r="J950" s="2">
        <v>45849</v>
      </c>
      <c r="K950" s="1" t="s">
        <v>2435</v>
      </c>
    </row>
    <row r="951" spans="1:11" x14ac:dyDescent="0.35">
      <c r="A951" s="3" t="s">
        <v>2248</v>
      </c>
      <c r="B951" s="1" t="s">
        <v>2427</v>
      </c>
      <c r="C951" s="1" t="s">
        <v>2436</v>
      </c>
      <c r="D951" s="1" t="str">
        <f>"8465"</f>
        <v>8465</v>
      </c>
      <c r="E951" s="1" t="str">
        <f>"016046325"</f>
        <v>016046325</v>
      </c>
      <c r="F951" s="1" t="s">
        <v>2210</v>
      </c>
      <c r="G951" s="3" t="s">
        <v>19</v>
      </c>
      <c r="H951" s="3" t="str">
        <f>"1"</f>
        <v>1</v>
      </c>
      <c r="I951" s="4">
        <v>11407.95</v>
      </c>
      <c r="J951" s="2">
        <v>45849</v>
      </c>
      <c r="K951" s="1" t="s">
        <v>2437</v>
      </c>
    </row>
    <row r="952" spans="1:11" x14ac:dyDescent="0.35">
      <c r="A952" s="3" t="s">
        <v>2248</v>
      </c>
      <c r="B952" s="1" t="s">
        <v>2438</v>
      </c>
      <c r="C952" s="1" t="s">
        <v>2439</v>
      </c>
      <c r="D952" s="1" t="str">
        <f>"1670"</f>
        <v>1670</v>
      </c>
      <c r="E952" s="1" t="str">
        <f>"004062657"</f>
        <v>004062657</v>
      </c>
      <c r="F952" s="1" t="s">
        <v>2440</v>
      </c>
      <c r="G952" s="3" t="s">
        <v>15</v>
      </c>
      <c r="H952" s="3" t="str">
        <f>"25"</f>
        <v>25</v>
      </c>
      <c r="I952" s="4">
        <v>48.46</v>
      </c>
      <c r="J952" s="2">
        <v>45849</v>
      </c>
      <c r="K952" s="1" t="s">
        <v>2441</v>
      </c>
    </row>
    <row r="953" spans="1:11" x14ac:dyDescent="0.35">
      <c r="A953" s="3" t="s">
        <v>2248</v>
      </c>
      <c r="B953" s="1" t="s">
        <v>2438</v>
      </c>
      <c r="C953" s="1" t="s">
        <v>2442</v>
      </c>
      <c r="D953" s="1" t="str">
        <f>"2340"</f>
        <v>2340</v>
      </c>
      <c r="E953" s="1" t="s">
        <v>694</v>
      </c>
      <c r="F953" s="1" t="s">
        <v>695</v>
      </c>
      <c r="G953" s="3" t="s">
        <v>15</v>
      </c>
      <c r="H953" s="3" t="str">
        <f>"1"</f>
        <v>1</v>
      </c>
      <c r="I953" s="4" t="str">
        <f>"13632"</f>
        <v>13632</v>
      </c>
      <c r="J953" s="2">
        <v>45849</v>
      </c>
      <c r="K953" s="1" t="s">
        <v>2443</v>
      </c>
    </row>
    <row r="954" spans="1:11" x14ac:dyDescent="0.35">
      <c r="A954" s="3" t="s">
        <v>2248</v>
      </c>
      <c r="B954" s="1" t="s">
        <v>2375</v>
      </c>
      <c r="C954" s="1" t="s">
        <v>2400</v>
      </c>
      <c r="D954" s="1" t="str">
        <f>"5855"</f>
        <v>5855</v>
      </c>
      <c r="E954" s="1" t="str">
        <f>"015264703"</f>
        <v>015264703</v>
      </c>
      <c r="F954" s="1" t="s">
        <v>1953</v>
      </c>
      <c r="G954" s="3" t="s">
        <v>15</v>
      </c>
      <c r="H954" s="3" t="str">
        <f>"1"</f>
        <v>1</v>
      </c>
      <c r="I954" s="4">
        <v>10100.040000000001</v>
      </c>
      <c r="J954" s="2">
        <v>45840</v>
      </c>
      <c r="K954" s="1" t="s">
        <v>2401</v>
      </c>
    </row>
    <row r="955" spans="1:11" x14ac:dyDescent="0.35">
      <c r="A955" s="3" t="s">
        <v>2248</v>
      </c>
      <c r="B955" s="1" t="s">
        <v>2375</v>
      </c>
      <c r="C955" s="1" t="s">
        <v>2402</v>
      </c>
      <c r="D955" s="1" t="str">
        <f>"5855"</f>
        <v>5855</v>
      </c>
      <c r="E955" s="1" t="str">
        <f>"015264703"</f>
        <v>015264703</v>
      </c>
      <c r="F955" s="1" t="s">
        <v>1953</v>
      </c>
      <c r="G955" s="3" t="s">
        <v>15</v>
      </c>
      <c r="H955" s="3" t="str">
        <f>"1"</f>
        <v>1</v>
      </c>
      <c r="I955" s="4">
        <v>10100.040000000001</v>
      </c>
      <c r="J955" s="2">
        <v>45840</v>
      </c>
      <c r="K955" s="1" t="s">
        <v>2401</v>
      </c>
    </row>
    <row r="956" spans="1:11" x14ac:dyDescent="0.35">
      <c r="A956" s="3" t="s">
        <v>2248</v>
      </c>
      <c r="B956" s="1" t="s">
        <v>2410</v>
      </c>
      <c r="C956" s="1" t="s">
        <v>2411</v>
      </c>
      <c r="D956" s="1" t="str">
        <f>"5855"</f>
        <v>5855</v>
      </c>
      <c r="E956" s="1" t="str">
        <f>"015345931"</f>
        <v>015345931</v>
      </c>
      <c r="F956" s="1" t="s">
        <v>703</v>
      </c>
      <c r="G956" s="3" t="s">
        <v>15</v>
      </c>
      <c r="H956" s="3" t="str">
        <f>"8"</f>
        <v>8</v>
      </c>
      <c r="I956" s="4" t="str">
        <f>"976"</f>
        <v>976</v>
      </c>
      <c r="J956" s="2">
        <v>45840</v>
      </c>
      <c r="K956" s="1" t="s">
        <v>2412</v>
      </c>
    </row>
    <row r="957" spans="1:11" x14ac:dyDescent="0.35">
      <c r="A957" s="3" t="s">
        <v>2248</v>
      </c>
      <c r="B957" s="1" t="s">
        <v>2410</v>
      </c>
      <c r="C957" s="1" t="s">
        <v>2413</v>
      </c>
      <c r="D957" s="1" t="str">
        <f>"5855"</f>
        <v>5855</v>
      </c>
      <c r="E957" s="1" t="str">
        <f>"015777174"</f>
        <v>015777174</v>
      </c>
      <c r="F957" s="1" t="s">
        <v>1931</v>
      </c>
      <c r="G957" s="3" t="s">
        <v>15</v>
      </c>
      <c r="H957" s="3" t="str">
        <f>"1"</f>
        <v>1</v>
      </c>
      <c r="I957" s="4" t="str">
        <f>"1800"</f>
        <v>1800</v>
      </c>
      <c r="J957" s="2">
        <v>45840</v>
      </c>
      <c r="K957" s="1" t="s">
        <v>2412</v>
      </c>
    </row>
    <row r="958" spans="1:11" x14ac:dyDescent="0.35">
      <c r="A958" s="3" t="s">
        <v>2248</v>
      </c>
      <c r="B958" s="1" t="s">
        <v>2375</v>
      </c>
      <c r="C958" s="1" t="s">
        <v>2382</v>
      </c>
      <c r="D958" s="1" t="str">
        <f>"2330"</f>
        <v>2330</v>
      </c>
      <c r="E958" s="1" t="str">
        <f>"013875426"</f>
        <v>013875426</v>
      </c>
      <c r="F958" s="1" t="s">
        <v>2383</v>
      </c>
      <c r="G958" s="3" t="s">
        <v>15</v>
      </c>
      <c r="H958" s="3" t="str">
        <f>"1"</f>
        <v>1</v>
      </c>
      <c r="I958" s="4" t="str">
        <f>"8954"</f>
        <v>8954</v>
      </c>
      <c r="J958" s="2">
        <v>45839</v>
      </c>
      <c r="K958" s="1" t="s">
        <v>2384</v>
      </c>
    </row>
    <row r="959" spans="1:11" x14ac:dyDescent="0.35">
      <c r="A959" s="3" t="s">
        <v>2444</v>
      </c>
      <c r="B959" s="1" t="s">
        <v>2445</v>
      </c>
      <c r="C959" s="1" t="s">
        <v>2450</v>
      </c>
      <c r="D959" s="1" t="str">
        <f>"5965"</f>
        <v>5965</v>
      </c>
      <c r="E959" s="1" t="str">
        <f>"226297499"</f>
        <v>226297499</v>
      </c>
      <c r="F959" s="1" t="s">
        <v>22</v>
      </c>
      <c r="G959" s="3" t="s">
        <v>15</v>
      </c>
      <c r="H959" s="3" t="str">
        <f>"10"</f>
        <v>10</v>
      </c>
      <c r="I959" s="4">
        <v>2219.81</v>
      </c>
      <c r="J959" s="2">
        <v>45876</v>
      </c>
      <c r="K959" s="1" t="s">
        <v>2451</v>
      </c>
    </row>
    <row r="960" spans="1:11" x14ac:dyDescent="0.35">
      <c r="A960" s="3" t="s">
        <v>2444</v>
      </c>
      <c r="B960" s="1" t="s">
        <v>2445</v>
      </c>
      <c r="C960" s="1" t="s">
        <v>2452</v>
      </c>
      <c r="D960" s="1" t="str">
        <f>"8415"</f>
        <v>8415</v>
      </c>
      <c r="E960" s="1" t="s">
        <v>1359</v>
      </c>
      <c r="F960" s="1" t="s">
        <v>1360</v>
      </c>
      <c r="G960" s="3" t="s">
        <v>15</v>
      </c>
      <c r="H960" s="3" t="str">
        <f>"2"</f>
        <v>2</v>
      </c>
      <c r="I960" s="4">
        <v>51.4</v>
      </c>
      <c r="J960" s="2">
        <v>45849</v>
      </c>
      <c r="K960" s="1" t="s">
        <v>2453</v>
      </c>
    </row>
    <row r="961" spans="1:11" x14ac:dyDescent="0.35">
      <c r="A961" s="3" t="s">
        <v>2444</v>
      </c>
      <c r="B961" s="1" t="s">
        <v>2445</v>
      </c>
      <c r="C961" s="1" t="s">
        <v>2454</v>
      </c>
      <c r="D961" s="1" t="str">
        <f>"8465"</f>
        <v>8465</v>
      </c>
      <c r="E961" s="1" t="str">
        <f>"016533929"</f>
        <v>016533929</v>
      </c>
      <c r="F961" s="1" t="s">
        <v>1969</v>
      </c>
      <c r="G961" s="3" t="s">
        <v>15</v>
      </c>
      <c r="H961" s="3" t="str">
        <f>"20"</f>
        <v>20</v>
      </c>
      <c r="I961" s="4" t="str">
        <f>"150"</f>
        <v>150</v>
      </c>
      <c r="J961" s="2">
        <v>45849</v>
      </c>
      <c r="K961" s="1" t="s">
        <v>2455</v>
      </c>
    </row>
    <row r="962" spans="1:11" x14ac:dyDescent="0.35">
      <c r="A962" s="3" t="s">
        <v>2444</v>
      </c>
      <c r="B962" s="1" t="s">
        <v>2445</v>
      </c>
      <c r="C962" s="1" t="s">
        <v>2446</v>
      </c>
      <c r="D962" s="1" t="str">
        <f>"5820"</f>
        <v>5820</v>
      </c>
      <c r="E962" s="1" t="str">
        <f>"016168013"</f>
        <v>016168013</v>
      </c>
      <c r="F962" s="1" t="s">
        <v>2447</v>
      </c>
      <c r="G962" s="3" t="s">
        <v>15</v>
      </c>
      <c r="H962" s="3" t="str">
        <f>"4"</f>
        <v>4</v>
      </c>
      <c r="I962" s="4" t="str">
        <f>"9776"</f>
        <v>9776</v>
      </c>
      <c r="J962" s="2">
        <v>45846</v>
      </c>
      <c r="K962" s="1" t="s">
        <v>2448</v>
      </c>
    </row>
    <row r="963" spans="1:11" x14ac:dyDescent="0.35">
      <c r="A963" s="3" t="s">
        <v>2444</v>
      </c>
      <c r="B963" s="1" t="s">
        <v>2445</v>
      </c>
      <c r="C963" s="1" t="s">
        <v>2449</v>
      </c>
      <c r="D963" s="1" t="str">
        <f>"5820"</f>
        <v>5820</v>
      </c>
      <c r="E963" s="1" t="str">
        <f>"016168013"</f>
        <v>016168013</v>
      </c>
      <c r="F963" s="1" t="s">
        <v>2447</v>
      </c>
      <c r="G963" s="3" t="s">
        <v>15</v>
      </c>
      <c r="H963" s="3" t="str">
        <f>"1"</f>
        <v>1</v>
      </c>
      <c r="I963" s="4" t="str">
        <f>"9776"</f>
        <v>9776</v>
      </c>
      <c r="J963" s="2">
        <v>45846</v>
      </c>
      <c r="K963" s="1" t="s">
        <v>2448</v>
      </c>
    </row>
    <row r="964" spans="1:11" x14ac:dyDescent="0.35">
      <c r="A964" s="3" t="s">
        <v>2456</v>
      </c>
      <c r="B964" s="1" t="s">
        <v>2457</v>
      </c>
      <c r="C964" s="1" t="s">
        <v>2490</v>
      </c>
      <c r="D964" s="1" t="str">
        <f>"8465"</f>
        <v>8465</v>
      </c>
      <c r="E964" s="1" t="str">
        <f>"016820448"</f>
        <v>016820448</v>
      </c>
      <c r="F964" s="1" t="s">
        <v>2491</v>
      </c>
      <c r="G964" s="3" t="s">
        <v>15</v>
      </c>
      <c r="H964" s="3" t="str">
        <f>"1"</f>
        <v>1</v>
      </c>
      <c r="I964" s="4">
        <v>126.73</v>
      </c>
      <c r="J964" s="2">
        <v>45917</v>
      </c>
      <c r="K964" s="1" t="s">
        <v>2492</v>
      </c>
    </row>
    <row r="965" spans="1:11" x14ac:dyDescent="0.35">
      <c r="A965" s="3" t="s">
        <v>2456</v>
      </c>
      <c r="B965" s="1" t="s">
        <v>2457</v>
      </c>
      <c r="C965" s="1" t="s">
        <v>2493</v>
      </c>
      <c r="D965" s="1" t="str">
        <f>"8465"</f>
        <v>8465</v>
      </c>
      <c r="E965" s="1" t="str">
        <f>"016820448"</f>
        <v>016820448</v>
      </c>
      <c r="F965" s="1" t="s">
        <v>2491</v>
      </c>
      <c r="G965" s="3" t="s">
        <v>15</v>
      </c>
      <c r="H965" s="3" t="str">
        <f>"1"</f>
        <v>1</v>
      </c>
      <c r="I965" s="4">
        <v>126.73</v>
      </c>
      <c r="J965" s="2">
        <v>45917</v>
      </c>
      <c r="K965" s="1" t="s">
        <v>2492</v>
      </c>
    </row>
    <row r="966" spans="1:11" x14ac:dyDescent="0.35">
      <c r="A966" s="3" t="s">
        <v>2456</v>
      </c>
      <c r="B966" s="1" t="s">
        <v>2457</v>
      </c>
      <c r="C966" s="1" t="s">
        <v>2463</v>
      </c>
      <c r="D966" s="1" t="str">
        <f>"4910"</f>
        <v>4910</v>
      </c>
      <c r="E966" s="1" t="str">
        <f>"015547296"</f>
        <v>015547296</v>
      </c>
      <c r="F966" s="1" t="s">
        <v>2464</v>
      </c>
      <c r="G966" s="3" t="s">
        <v>15</v>
      </c>
      <c r="H966" s="3" t="str">
        <f>"2"</f>
        <v>2</v>
      </c>
      <c r="I966" s="4" t="str">
        <f>"2744"</f>
        <v>2744</v>
      </c>
      <c r="J966" s="2">
        <v>45911</v>
      </c>
      <c r="K966" s="1" t="s">
        <v>2465</v>
      </c>
    </row>
    <row r="967" spans="1:11" x14ac:dyDescent="0.35">
      <c r="A967" s="3" t="s">
        <v>2456</v>
      </c>
      <c r="B967" s="1" t="s">
        <v>2457</v>
      </c>
      <c r="C967" s="1" t="s">
        <v>2475</v>
      </c>
      <c r="D967" s="1" t="str">
        <f>"8415"</f>
        <v>8415</v>
      </c>
      <c r="E967" s="1" t="str">
        <f>"015802854"</f>
        <v>015802854</v>
      </c>
      <c r="F967" s="1" t="s">
        <v>2476</v>
      </c>
      <c r="G967" s="3" t="s">
        <v>15</v>
      </c>
      <c r="H967" s="3" t="str">
        <f>"3"</f>
        <v>3</v>
      </c>
      <c r="I967" s="4">
        <v>152.66</v>
      </c>
      <c r="J967" s="2">
        <v>45911</v>
      </c>
      <c r="K967" s="1" t="s">
        <v>2477</v>
      </c>
    </row>
    <row r="968" spans="1:11" x14ac:dyDescent="0.35">
      <c r="A968" s="3" t="s">
        <v>2456</v>
      </c>
      <c r="B968" s="1" t="s">
        <v>2457</v>
      </c>
      <c r="C968" s="1" t="s">
        <v>2480</v>
      </c>
      <c r="D968" s="1" t="str">
        <f>"8415"</f>
        <v>8415</v>
      </c>
      <c r="E968" s="1" t="str">
        <f>"015802861"</f>
        <v>015802861</v>
      </c>
      <c r="F968" s="1" t="s">
        <v>2476</v>
      </c>
      <c r="G968" s="3" t="s">
        <v>15</v>
      </c>
      <c r="H968" s="3" t="str">
        <f>"3"</f>
        <v>3</v>
      </c>
      <c r="I968" s="4">
        <v>152.65</v>
      </c>
      <c r="J968" s="2">
        <v>45911</v>
      </c>
      <c r="K968" s="1" t="s">
        <v>2481</v>
      </c>
    </row>
    <row r="969" spans="1:11" x14ac:dyDescent="0.35">
      <c r="A969" s="3" t="s">
        <v>2456</v>
      </c>
      <c r="B969" s="1" t="s">
        <v>2457</v>
      </c>
      <c r="C969" s="1" t="s">
        <v>2482</v>
      </c>
      <c r="D969" s="1" t="str">
        <f>"8415"</f>
        <v>8415</v>
      </c>
      <c r="E969" s="1" t="str">
        <f>"015802782"</f>
        <v>015802782</v>
      </c>
      <c r="F969" s="1" t="s">
        <v>2476</v>
      </c>
      <c r="G969" s="3" t="s">
        <v>15</v>
      </c>
      <c r="H969" s="3" t="str">
        <f>"4"</f>
        <v>4</v>
      </c>
      <c r="I969" s="4">
        <v>152.65</v>
      </c>
      <c r="J969" s="2">
        <v>45911</v>
      </c>
      <c r="K969" s="1" t="s">
        <v>2481</v>
      </c>
    </row>
    <row r="970" spans="1:11" x14ac:dyDescent="0.35">
      <c r="A970" s="3" t="s">
        <v>2456</v>
      </c>
      <c r="B970" s="1" t="s">
        <v>2457</v>
      </c>
      <c r="C970" s="1" t="s">
        <v>2483</v>
      </c>
      <c r="D970" s="1" t="str">
        <f>"8465"</f>
        <v>8465</v>
      </c>
      <c r="E970" s="1" t="str">
        <f>"015851512"</f>
        <v>015851512</v>
      </c>
      <c r="F970" s="1" t="s">
        <v>57</v>
      </c>
      <c r="G970" s="3" t="s">
        <v>58</v>
      </c>
      <c r="H970" s="3" t="str">
        <f>"2"</f>
        <v>2</v>
      </c>
      <c r="I970" s="4">
        <v>120.52</v>
      </c>
      <c r="J970" s="2">
        <v>45911</v>
      </c>
      <c r="K970" s="1" t="s">
        <v>2484</v>
      </c>
    </row>
    <row r="971" spans="1:11" x14ac:dyDescent="0.35">
      <c r="A971" s="3" t="s">
        <v>2456</v>
      </c>
      <c r="B971" s="1" t="s">
        <v>2457</v>
      </c>
      <c r="C971" s="1" t="s">
        <v>2485</v>
      </c>
      <c r="D971" s="1" t="str">
        <f>"8465"</f>
        <v>8465</v>
      </c>
      <c r="E971" s="1" t="str">
        <f>"016416353"</f>
        <v>016416353</v>
      </c>
      <c r="F971" s="1" t="s">
        <v>637</v>
      </c>
      <c r="G971" s="3" t="s">
        <v>58</v>
      </c>
      <c r="H971" s="3" t="str">
        <f>"4"</f>
        <v>4</v>
      </c>
      <c r="I971" s="4">
        <v>234.01</v>
      </c>
      <c r="J971" s="2">
        <v>45911</v>
      </c>
      <c r="K971" s="1" t="s">
        <v>2484</v>
      </c>
    </row>
    <row r="972" spans="1:11" x14ac:dyDescent="0.35">
      <c r="A972" s="3" t="s">
        <v>2456</v>
      </c>
      <c r="B972" s="1" t="s">
        <v>2457</v>
      </c>
      <c r="C972" s="1" t="s">
        <v>2486</v>
      </c>
      <c r="D972" s="1" t="str">
        <f>"8465"</f>
        <v>8465</v>
      </c>
      <c r="E972" s="1" t="str">
        <f>"015800981"</f>
        <v>015800981</v>
      </c>
      <c r="F972" s="1" t="s">
        <v>921</v>
      </c>
      <c r="G972" s="3" t="s">
        <v>15</v>
      </c>
      <c r="H972" s="3" t="str">
        <f>"6"</f>
        <v>6</v>
      </c>
      <c r="I972" s="4">
        <v>78.14</v>
      </c>
      <c r="J972" s="2">
        <v>45911</v>
      </c>
      <c r="K972" s="1" t="s">
        <v>2487</v>
      </c>
    </row>
    <row r="973" spans="1:11" x14ac:dyDescent="0.35">
      <c r="A973" s="3" t="s">
        <v>2456</v>
      </c>
      <c r="B973" s="1" t="s">
        <v>2457</v>
      </c>
      <c r="C973" s="1" t="s">
        <v>2458</v>
      </c>
      <c r="D973" s="1" t="str">
        <f>"1240"</f>
        <v>1240</v>
      </c>
      <c r="E973" s="1" t="str">
        <f>"015330939"</f>
        <v>015330939</v>
      </c>
      <c r="F973" s="1" t="s">
        <v>2459</v>
      </c>
      <c r="G973" s="3" t="s">
        <v>15</v>
      </c>
      <c r="H973" s="3" t="str">
        <f>"9"</f>
        <v>9</v>
      </c>
      <c r="I973" s="4" t="str">
        <f>"800"</f>
        <v>800</v>
      </c>
      <c r="J973" s="2">
        <v>45908</v>
      </c>
      <c r="K973" s="1" t="s">
        <v>2460</v>
      </c>
    </row>
    <row r="974" spans="1:11" x14ac:dyDescent="0.35">
      <c r="A974" s="3" t="s">
        <v>2456</v>
      </c>
      <c r="B974" s="1" t="s">
        <v>2457</v>
      </c>
      <c r="C974" s="1" t="s">
        <v>2488</v>
      </c>
      <c r="D974" s="1" t="str">
        <f>"8465"</f>
        <v>8465</v>
      </c>
      <c r="E974" s="1" t="str">
        <f>"016416977"</f>
        <v>016416977</v>
      </c>
      <c r="F974" s="1" t="s">
        <v>981</v>
      </c>
      <c r="G974" s="3" t="s">
        <v>58</v>
      </c>
      <c r="H974" s="3" t="str">
        <f>"1"</f>
        <v>1</v>
      </c>
      <c r="I974" s="4">
        <v>382.84</v>
      </c>
      <c r="J974" s="2">
        <v>45905</v>
      </c>
      <c r="K974" s="1" t="s">
        <v>2489</v>
      </c>
    </row>
    <row r="975" spans="1:11" x14ac:dyDescent="0.35">
      <c r="A975" s="3" t="s">
        <v>2456</v>
      </c>
      <c r="B975" s="1" t="s">
        <v>2457</v>
      </c>
      <c r="C975" s="1" t="s">
        <v>2461</v>
      </c>
      <c r="D975" s="1" t="str">
        <f>"4240"</f>
        <v>4240</v>
      </c>
      <c r="E975" s="1" t="str">
        <f>"016307259"</f>
        <v>016307259</v>
      </c>
      <c r="F975" s="1" t="s">
        <v>211</v>
      </c>
      <c r="G975" s="3" t="s">
        <v>15</v>
      </c>
      <c r="H975" s="3" t="str">
        <f>"18"</f>
        <v>18</v>
      </c>
      <c r="I975" s="4">
        <v>67.23</v>
      </c>
      <c r="J975" s="2">
        <v>45896</v>
      </c>
      <c r="K975" s="1" t="s">
        <v>2462</v>
      </c>
    </row>
    <row r="976" spans="1:11" x14ac:dyDescent="0.35">
      <c r="A976" s="3" t="s">
        <v>2456</v>
      </c>
      <c r="B976" s="1" t="s">
        <v>2457</v>
      </c>
      <c r="C976" s="1" t="s">
        <v>2466</v>
      </c>
      <c r="D976" s="1" t="str">
        <f>"5855"</f>
        <v>5855</v>
      </c>
      <c r="E976" s="1" t="str">
        <f>"016800712"</f>
        <v>016800712</v>
      </c>
      <c r="F976" s="1" t="s">
        <v>2467</v>
      </c>
      <c r="G976" s="3" t="s">
        <v>15</v>
      </c>
      <c r="H976" s="3" t="str">
        <f>"9"</f>
        <v>9</v>
      </c>
      <c r="I976" s="4" t="str">
        <f>"3000"</f>
        <v>3000</v>
      </c>
      <c r="J976" s="2">
        <v>45889</v>
      </c>
      <c r="K976" s="1" t="s">
        <v>2468</v>
      </c>
    </row>
    <row r="977" spans="1:11" x14ac:dyDescent="0.35">
      <c r="A977" s="3" t="s">
        <v>2456</v>
      </c>
      <c r="B977" s="1" t="s">
        <v>2457</v>
      </c>
      <c r="C977" s="1" t="s">
        <v>2469</v>
      </c>
      <c r="D977" s="1" t="str">
        <f>"8415"</f>
        <v>8415</v>
      </c>
      <c r="E977" s="1" t="str">
        <f>"015801341"</f>
        <v>015801341</v>
      </c>
      <c r="F977" s="1" t="s">
        <v>839</v>
      </c>
      <c r="G977" s="3" t="s">
        <v>15</v>
      </c>
      <c r="H977" s="3" t="str">
        <f>"3"</f>
        <v>3</v>
      </c>
      <c r="I977" s="4">
        <v>81.66</v>
      </c>
      <c r="J977" s="2">
        <v>45881</v>
      </c>
      <c r="K977" s="1" t="s">
        <v>2470</v>
      </c>
    </row>
    <row r="978" spans="1:11" x14ac:dyDescent="0.35">
      <c r="A978" s="3" t="s">
        <v>2456</v>
      </c>
      <c r="B978" s="1" t="s">
        <v>2457</v>
      </c>
      <c r="C978" s="1" t="s">
        <v>2471</v>
      </c>
      <c r="D978" s="1" t="str">
        <f>"8415"</f>
        <v>8415</v>
      </c>
      <c r="E978" s="1" t="str">
        <f>"015386289"</f>
        <v>015386289</v>
      </c>
      <c r="F978" s="1" t="s">
        <v>973</v>
      </c>
      <c r="G978" s="3" t="s">
        <v>15</v>
      </c>
      <c r="H978" s="3" t="str">
        <f>"3"</f>
        <v>3</v>
      </c>
      <c r="I978" s="4">
        <v>143.46</v>
      </c>
      <c r="J978" s="2">
        <v>45881</v>
      </c>
      <c r="K978" s="1" t="s">
        <v>2470</v>
      </c>
    </row>
    <row r="979" spans="1:11" x14ac:dyDescent="0.35">
      <c r="A979" s="3" t="s">
        <v>2456</v>
      </c>
      <c r="B979" s="1" t="s">
        <v>2457</v>
      </c>
      <c r="C979" s="1" t="s">
        <v>2472</v>
      </c>
      <c r="D979" s="1" t="str">
        <f>"8415"</f>
        <v>8415</v>
      </c>
      <c r="E979" s="1" t="str">
        <f>"015386300"</f>
        <v>015386300</v>
      </c>
      <c r="F979" s="1" t="s">
        <v>973</v>
      </c>
      <c r="G979" s="3" t="s">
        <v>15</v>
      </c>
      <c r="H979" s="3" t="str">
        <f>"1"</f>
        <v>1</v>
      </c>
      <c r="I979" s="4">
        <v>143.46</v>
      </c>
      <c r="J979" s="2">
        <v>45881</v>
      </c>
      <c r="K979" s="1" t="s">
        <v>2470</v>
      </c>
    </row>
    <row r="980" spans="1:11" x14ac:dyDescent="0.35">
      <c r="A980" s="3" t="s">
        <v>2456</v>
      </c>
      <c r="B980" s="1" t="s">
        <v>2457</v>
      </c>
      <c r="C980" s="1" t="s">
        <v>2473</v>
      </c>
      <c r="D980" s="1" t="str">
        <f>"8415"</f>
        <v>8415</v>
      </c>
      <c r="E980" s="1" t="str">
        <f>"016425572"</f>
        <v>016425572</v>
      </c>
      <c r="F980" s="1" t="s">
        <v>973</v>
      </c>
      <c r="G980" s="3" t="s">
        <v>15</v>
      </c>
      <c r="H980" s="3" t="str">
        <f>"1"</f>
        <v>1</v>
      </c>
      <c r="I980" s="4">
        <v>633.94000000000005</v>
      </c>
      <c r="J980" s="2">
        <v>45881</v>
      </c>
      <c r="K980" s="1" t="s">
        <v>2470</v>
      </c>
    </row>
    <row r="981" spans="1:11" x14ac:dyDescent="0.35">
      <c r="A981" s="3" t="s">
        <v>2456</v>
      </c>
      <c r="B981" s="1" t="s">
        <v>2457</v>
      </c>
      <c r="C981" s="1" t="s">
        <v>2474</v>
      </c>
      <c r="D981" s="1" t="str">
        <f>"8415"</f>
        <v>8415</v>
      </c>
      <c r="E981" s="1" t="str">
        <f>"015386742"</f>
        <v>015386742</v>
      </c>
      <c r="F981" s="1" t="s">
        <v>839</v>
      </c>
      <c r="G981" s="3" t="s">
        <v>15</v>
      </c>
      <c r="H981" s="3" t="str">
        <f>"3"</f>
        <v>3</v>
      </c>
      <c r="I981" s="4">
        <v>66.42</v>
      </c>
      <c r="J981" s="2">
        <v>45881</v>
      </c>
      <c r="K981" s="1" t="s">
        <v>2470</v>
      </c>
    </row>
    <row r="982" spans="1:11" x14ac:dyDescent="0.35">
      <c r="A982" s="3" t="s">
        <v>2456</v>
      </c>
      <c r="B982" s="1" t="s">
        <v>2457</v>
      </c>
      <c r="C982" s="1" t="s">
        <v>2478</v>
      </c>
      <c r="D982" s="1" t="str">
        <f>"8415"</f>
        <v>8415</v>
      </c>
      <c r="E982" s="1" t="str">
        <f>"015386300"</f>
        <v>015386300</v>
      </c>
      <c r="F982" s="1" t="s">
        <v>973</v>
      </c>
      <c r="G982" s="3" t="s">
        <v>15</v>
      </c>
      <c r="H982" s="3" t="str">
        <f>"1"</f>
        <v>1</v>
      </c>
      <c r="I982" s="4">
        <v>143.46</v>
      </c>
      <c r="J982" s="2">
        <v>45881</v>
      </c>
      <c r="K982" s="1" t="s">
        <v>2470</v>
      </c>
    </row>
    <row r="983" spans="1:11" x14ac:dyDescent="0.35">
      <c r="A983" s="3" t="s">
        <v>2456</v>
      </c>
      <c r="B983" s="1" t="s">
        <v>2457</v>
      </c>
      <c r="C983" s="1" t="s">
        <v>2479</v>
      </c>
      <c r="D983" s="1" t="str">
        <f>"8415"</f>
        <v>8415</v>
      </c>
      <c r="E983" s="1" t="str">
        <f>"015386300"</f>
        <v>015386300</v>
      </c>
      <c r="F983" s="1" t="s">
        <v>973</v>
      </c>
      <c r="G983" s="3" t="s">
        <v>15</v>
      </c>
      <c r="H983" s="3" t="str">
        <f>"1"</f>
        <v>1</v>
      </c>
      <c r="I983" s="4">
        <v>143.46</v>
      </c>
      <c r="J983" s="2">
        <v>45881</v>
      </c>
      <c r="K983" s="1" t="s">
        <v>2470</v>
      </c>
    </row>
    <row r="984" spans="1:11" x14ac:dyDescent="0.35">
      <c r="A984" s="3" t="s">
        <v>2494</v>
      </c>
      <c r="B984" s="1" t="s">
        <v>2521</v>
      </c>
      <c r="C984" s="1" t="s">
        <v>2527</v>
      </c>
      <c r="D984" s="1" t="str">
        <f>"5855"</f>
        <v>5855</v>
      </c>
      <c r="E984" s="1" t="str">
        <f>"015847217"</f>
        <v>015847217</v>
      </c>
      <c r="F984" s="1" t="s">
        <v>1942</v>
      </c>
      <c r="G984" s="3" t="s">
        <v>15</v>
      </c>
      <c r="H984" s="3" t="str">
        <f>"15"</f>
        <v>15</v>
      </c>
      <c r="I984" s="4" t="str">
        <f>"35674"</f>
        <v>35674</v>
      </c>
      <c r="J984" s="2">
        <v>45927</v>
      </c>
      <c r="K984" s="1" t="s">
        <v>2528</v>
      </c>
    </row>
    <row r="985" spans="1:11" x14ac:dyDescent="0.35">
      <c r="A985" s="3" t="s">
        <v>2494</v>
      </c>
      <c r="B985" s="1" t="s">
        <v>2521</v>
      </c>
      <c r="C985" s="1" t="s">
        <v>2533</v>
      </c>
      <c r="D985" s="1" t="str">
        <f>"6130"</f>
        <v>6130</v>
      </c>
      <c r="E985" s="1" t="str">
        <f>"015207118"</f>
        <v>015207118</v>
      </c>
      <c r="F985" s="1" t="s">
        <v>1728</v>
      </c>
      <c r="G985" s="3" t="s">
        <v>15</v>
      </c>
      <c r="H985" s="3" t="str">
        <f>"2"</f>
        <v>2</v>
      </c>
      <c r="I985" s="4">
        <v>555.66</v>
      </c>
      <c r="J985" s="2">
        <v>45927</v>
      </c>
      <c r="K985" s="1" t="s">
        <v>2534</v>
      </c>
    </row>
    <row r="986" spans="1:11" x14ac:dyDescent="0.35">
      <c r="A986" s="3" t="s">
        <v>2494</v>
      </c>
      <c r="B986" s="1" t="s">
        <v>2521</v>
      </c>
      <c r="C986" s="1" t="s">
        <v>2535</v>
      </c>
      <c r="D986" s="1" t="str">
        <f>"6220"</f>
        <v>6220</v>
      </c>
      <c r="E986" s="1" t="str">
        <f>"015760946"</f>
        <v>015760946</v>
      </c>
      <c r="F986" s="1" t="s">
        <v>2536</v>
      </c>
      <c r="G986" s="3" t="s">
        <v>15</v>
      </c>
      <c r="H986" s="3" t="str">
        <f>"7"</f>
        <v>7</v>
      </c>
      <c r="I986" s="4">
        <v>1474.57</v>
      </c>
      <c r="J986" s="2">
        <v>45927</v>
      </c>
      <c r="K986" s="1" t="s">
        <v>2537</v>
      </c>
    </row>
    <row r="987" spans="1:11" x14ac:dyDescent="0.35">
      <c r="A987" s="3" t="s">
        <v>2494</v>
      </c>
      <c r="B987" s="1" t="s">
        <v>2521</v>
      </c>
      <c r="C987" s="1" t="s">
        <v>2544</v>
      </c>
      <c r="D987" s="1" t="str">
        <f>"6760"</f>
        <v>6760</v>
      </c>
      <c r="E987" s="1" t="str">
        <f>"016698540"</f>
        <v>016698540</v>
      </c>
      <c r="F987" s="1" t="s">
        <v>2545</v>
      </c>
      <c r="G987" s="3" t="s">
        <v>15</v>
      </c>
      <c r="H987" s="3" t="str">
        <f>"1"</f>
        <v>1</v>
      </c>
      <c r="I987" s="4">
        <v>615.89</v>
      </c>
      <c r="J987" s="2">
        <v>45927</v>
      </c>
      <c r="K987" s="1" t="s">
        <v>2546</v>
      </c>
    </row>
    <row r="988" spans="1:11" x14ac:dyDescent="0.35">
      <c r="A988" s="3" t="s">
        <v>2494</v>
      </c>
      <c r="B988" s="1" t="s">
        <v>2521</v>
      </c>
      <c r="C988" s="1" t="s">
        <v>2549</v>
      </c>
      <c r="D988" s="1" t="str">
        <f>"8415"</f>
        <v>8415</v>
      </c>
      <c r="E988" s="1" t="str">
        <f>"015386695"</f>
        <v>015386695</v>
      </c>
      <c r="F988" s="1" t="s">
        <v>2550</v>
      </c>
      <c r="G988" s="3" t="s">
        <v>15</v>
      </c>
      <c r="H988" s="3" t="str">
        <f>"1"</f>
        <v>1</v>
      </c>
      <c r="I988" s="4">
        <v>128.25</v>
      </c>
      <c r="J988" s="2">
        <v>45927</v>
      </c>
      <c r="K988" s="1" t="s">
        <v>2551</v>
      </c>
    </row>
    <row r="989" spans="1:11" x14ac:dyDescent="0.35">
      <c r="A989" s="3" t="s">
        <v>2494</v>
      </c>
      <c r="B989" s="1" t="s">
        <v>2521</v>
      </c>
      <c r="C989" s="1" t="s">
        <v>2552</v>
      </c>
      <c r="D989" s="1" t="str">
        <f>"8415"</f>
        <v>8415</v>
      </c>
      <c r="E989" s="1" t="str">
        <f>"015386312"</f>
        <v>015386312</v>
      </c>
      <c r="F989" s="1" t="s">
        <v>973</v>
      </c>
      <c r="G989" s="3" t="s">
        <v>15</v>
      </c>
      <c r="H989" s="3" t="str">
        <f>"1"</f>
        <v>1</v>
      </c>
      <c r="I989" s="4">
        <v>143.46</v>
      </c>
      <c r="J989" s="2">
        <v>45927</v>
      </c>
      <c r="K989" s="1" t="s">
        <v>2553</v>
      </c>
    </row>
    <row r="990" spans="1:11" x14ac:dyDescent="0.35">
      <c r="A990" s="3" t="s">
        <v>2494</v>
      </c>
      <c r="B990" s="1" t="s">
        <v>2521</v>
      </c>
      <c r="C990" s="1" t="s">
        <v>2554</v>
      </c>
      <c r="D990" s="1" t="str">
        <f>"8465"</f>
        <v>8465</v>
      </c>
      <c r="E990" s="1" t="str">
        <f>"013288268"</f>
        <v>013288268</v>
      </c>
      <c r="F990" s="1" t="s">
        <v>846</v>
      </c>
      <c r="G990" s="3" t="s">
        <v>847</v>
      </c>
      <c r="H990" s="3" t="str">
        <f>"20"</f>
        <v>20</v>
      </c>
      <c r="I990" s="4">
        <v>28.86</v>
      </c>
      <c r="J990" s="2">
        <v>45927</v>
      </c>
      <c r="K990" s="1" t="s">
        <v>2555</v>
      </c>
    </row>
    <row r="991" spans="1:11" x14ac:dyDescent="0.35">
      <c r="A991" s="3" t="s">
        <v>2494</v>
      </c>
      <c r="B991" s="1" t="s">
        <v>2521</v>
      </c>
      <c r="C991" s="1" t="s">
        <v>2556</v>
      </c>
      <c r="D991" s="1" t="str">
        <f>"8465"</f>
        <v>8465</v>
      </c>
      <c r="E991" s="1" t="s">
        <v>1621</v>
      </c>
      <c r="F991" s="1" t="s">
        <v>1622</v>
      </c>
      <c r="G991" s="3" t="s">
        <v>15</v>
      </c>
      <c r="H991" s="3" t="str">
        <f>"50"</f>
        <v>50</v>
      </c>
      <c r="I991" s="4" t="str">
        <f>"30"</f>
        <v>30</v>
      </c>
      <c r="J991" s="2">
        <v>45927</v>
      </c>
      <c r="K991" s="1" t="s">
        <v>2557</v>
      </c>
    </row>
    <row r="992" spans="1:11" x14ac:dyDescent="0.35">
      <c r="A992" s="3" t="s">
        <v>2494</v>
      </c>
      <c r="B992" s="1" t="s">
        <v>2570</v>
      </c>
      <c r="C992" s="1" t="s">
        <v>2571</v>
      </c>
      <c r="D992" s="1" t="str">
        <f>"4010"</f>
        <v>4010</v>
      </c>
      <c r="E992" s="1" t="str">
        <f>"001889011"</f>
        <v>001889011</v>
      </c>
      <c r="F992" s="1" t="s">
        <v>2572</v>
      </c>
      <c r="G992" s="3" t="s">
        <v>290</v>
      </c>
      <c r="H992" s="3" t="str">
        <f>"19"</f>
        <v>19</v>
      </c>
      <c r="I992" s="4">
        <v>206.81</v>
      </c>
      <c r="J992" s="2">
        <v>45927</v>
      </c>
      <c r="K992" s="1" t="s">
        <v>2573</v>
      </c>
    </row>
    <row r="993" spans="1:11" x14ac:dyDescent="0.35">
      <c r="A993" s="3" t="s">
        <v>2494</v>
      </c>
      <c r="B993" s="1" t="s">
        <v>2570</v>
      </c>
      <c r="C993" s="1" t="s">
        <v>2574</v>
      </c>
      <c r="D993" s="1" t="str">
        <f>"5855"</f>
        <v>5855</v>
      </c>
      <c r="E993" s="1" t="str">
        <f>"015847217"</f>
        <v>015847217</v>
      </c>
      <c r="F993" s="1" t="s">
        <v>1942</v>
      </c>
      <c r="G993" s="3" t="s">
        <v>15</v>
      </c>
      <c r="H993" s="3" t="str">
        <f>"12"</f>
        <v>12</v>
      </c>
      <c r="I993" s="4" t="str">
        <f>"35674"</f>
        <v>35674</v>
      </c>
      <c r="J993" s="2">
        <v>45927</v>
      </c>
      <c r="K993" s="1" t="s">
        <v>2575</v>
      </c>
    </row>
    <row r="994" spans="1:11" x14ac:dyDescent="0.35">
      <c r="A994" s="3" t="s">
        <v>2494</v>
      </c>
      <c r="B994" s="1" t="s">
        <v>2594</v>
      </c>
      <c r="C994" s="1" t="s">
        <v>2595</v>
      </c>
      <c r="D994" s="1" t="str">
        <f>"6115"</f>
        <v>6115</v>
      </c>
      <c r="E994" s="1" t="str">
        <f>"012853012"</f>
        <v>012853012</v>
      </c>
      <c r="F994" s="1" t="s">
        <v>435</v>
      </c>
      <c r="G994" s="3" t="s">
        <v>15</v>
      </c>
      <c r="H994" s="3" t="str">
        <f>"1"</f>
        <v>1</v>
      </c>
      <c r="I994" s="4" t="str">
        <f>"44258"</f>
        <v>44258</v>
      </c>
      <c r="J994" s="2">
        <v>45927</v>
      </c>
      <c r="K994" s="1" t="s">
        <v>2596</v>
      </c>
    </row>
    <row r="995" spans="1:11" x14ac:dyDescent="0.35">
      <c r="A995" s="3" t="s">
        <v>2494</v>
      </c>
      <c r="B995" s="1" t="s">
        <v>2627</v>
      </c>
      <c r="C995" s="1" t="s">
        <v>2628</v>
      </c>
      <c r="D995" s="1" t="str">
        <f>"4940"</f>
        <v>4940</v>
      </c>
      <c r="E995" s="1" t="str">
        <f>"010415679"</f>
        <v>010415679</v>
      </c>
      <c r="F995" s="1" t="s">
        <v>2629</v>
      </c>
      <c r="G995" s="3" t="s">
        <v>15</v>
      </c>
      <c r="H995" s="3" t="str">
        <f>"2"</f>
        <v>2</v>
      </c>
      <c r="I995" s="4" t="str">
        <f>"5210"</f>
        <v>5210</v>
      </c>
      <c r="J995" s="2">
        <v>45927</v>
      </c>
      <c r="K995" s="1" t="s">
        <v>2630</v>
      </c>
    </row>
    <row r="996" spans="1:11" x14ac:dyDescent="0.35">
      <c r="A996" s="3" t="s">
        <v>2494</v>
      </c>
      <c r="B996" s="1" t="s">
        <v>2627</v>
      </c>
      <c r="C996" s="1" t="s">
        <v>2631</v>
      </c>
      <c r="D996" s="1" t="str">
        <f>"7830"</f>
        <v>7830</v>
      </c>
      <c r="E996" s="1" t="s">
        <v>2632</v>
      </c>
      <c r="F996" s="1" t="s">
        <v>2633</v>
      </c>
      <c r="G996" s="3" t="s">
        <v>15</v>
      </c>
      <c r="H996" s="3" t="str">
        <f>"2"</f>
        <v>2</v>
      </c>
      <c r="I996" s="4" t="str">
        <f>"795"</f>
        <v>795</v>
      </c>
      <c r="J996" s="2">
        <v>45927</v>
      </c>
      <c r="K996" s="1" t="s">
        <v>2634</v>
      </c>
    </row>
    <row r="997" spans="1:11" x14ac:dyDescent="0.35">
      <c r="A997" s="3" t="s">
        <v>2494</v>
      </c>
      <c r="B997" s="1" t="s">
        <v>2627</v>
      </c>
      <c r="C997" s="1" t="s">
        <v>2635</v>
      </c>
      <c r="D997" s="1" t="str">
        <f>"7830"</f>
        <v>7830</v>
      </c>
      <c r="E997" s="1" t="s">
        <v>2636</v>
      </c>
      <c r="F997" s="1" t="s">
        <v>2637</v>
      </c>
      <c r="G997" s="3" t="s">
        <v>15</v>
      </c>
      <c r="H997" s="3" t="str">
        <f>"3"</f>
        <v>3</v>
      </c>
      <c r="I997" s="4" t="str">
        <f>"795"</f>
        <v>795</v>
      </c>
      <c r="J997" s="2">
        <v>45927</v>
      </c>
      <c r="K997" s="1" t="s">
        <v>2634</v>
      </c>
    </row>
    <row r="998" spans="1:11" x14ac:dyDescent="0.35">
      <c r="A998" s="3" t="s">
        <v>2494</v>
      </c>
      <c r="B998" s="1" t="s">
        <v>2521</v>
      </c>
      <c r="C998" s="1" t="s">
        <v>2525</v>
      </c>
      <c r="D998" s="1" t="str">
        <f>"1240"</f>
        <v>1240</v>
      </c>
      <c r="E998" s="1" t="str">
        <f>"014847213"</f>
        <v>014847213</v>
      </c>
      <c r="F998" s="1" t="s">
        <v>208</v>
      </c>
      <c r="G998" s="3" t="s">
        <v>15</v>
      </c>
      <c r="H998" s="3" t="str">
        <f>"5"</f>
        <v>5</v>
      </c>
      <c r="I998" s="4">
        <v>704.7</v>
      </c>
      <c r="J998" s="2">
        <v>45924</v>
      </c>
      <c r="K998" s="1" t="s">
        <v>2526</v>
      </c>
    </row>
    <row r="999" spans="1:11" x14ac:dyDescent="0.35">
      <c r="A999" s="3" t="s">
        <v>2494</v>
      </c>
      <c r="B999" s="1" t="s">
        <v>2584</v>
      </c>
      <c r="C999" s="1" t="s">
        <v>2592</v>
      </c>
      <c r="D999" s="1" t="str">
        <f>"8115"</f>
        <v>8115</v>
      </c>
      <c r="E999" s="1" t="s">
        <v>1422</v>
      </c>
      <c r="F999" s="1" t="s">
        <v>1423</v>
      </c>
      <c r="G999" s="3" t="s">
        <v>15</v>
      </c>
      <c r="H999" s="3" t="str">
        <f>"3"</f>
        <v>3</v>
      </c>
      <c r="I999" s="4" t="str">
        <f>"100"</f>
        <v>100</v>
      </c>
      <c r="J999" s="2">
        <v>45924</v>
      </c>
      <c r="K999" s="1" t="s">
        <v>2593</v>
      </c>
    </row>
    <row r="1000" spans="1:11" x14ac:dyDescent="0.35">
      <c r="A1000" s="3" t="s">
        <v>2494</v>
      </c>
      <c r="B1000" s="1" t="s">
        <v>2594</v>
      </c>
      <c r="C1000" s="1" t="s">
        <v>2597</v>
      </c>
      <c r="D1000" s="1" t="str">
        <f>"7910"</f>
        <v>7910</v>
      </c>
      <c r="E1000" s="1" t="str">
        <f>"014200590"</f>
        <v>014200590</v>
      </c>
      <c r="F1000" s="1" t="s">
        <v>2598</v>
      </c>
      <c r="G1000" s="3" t="s">
        <v>15</v>
      </c>
      <c r="H1000" s="3" t="str">
        <f>"2"</f>
        <v>2</v>
      </c>
      <c r="I1000" s="4">
        <v>327.5</v>
      </c>
      <c r="J1000" s="2">
        <v>45924</v>
      </c>
      <c r="K1000" s="1" t="s">
        <v>2599</v>
      </c>
    </row>
    <row r="1001" spans="1:11" x14ac:dyDescent="0.35">
      <c r="A1001" s="3" t="s">
        <v>2494</v>
      </c>
      <c r="B1001" s="1" t="s">
        <v>2521</v>
      </c>
      <c r="C1001" s="1" t="s">
        <v>2542</v>
      </c>
      <c r="D1001" s="1" t="str">
        <f>"6230"</f>
        <v>6230</v>
      </c>
      <c r="E1001" s="1" t="str">
        <f>"015894822"</f>
        <v>015894822</v>
      </c>
      <c r="F1001" s="1" t="s">
        <v>310</v>
      </c>
      <c r="G1001" s="3" t="s">
        <v>15</v>
      </c>
      <c r="H1001" s="3" t="str">
        <f>"15"</f>
        <v>15</v>
      </c>
      <c r="I1001" s="4">
        <v>889.39</v>
      </c>
      <c r="J1001" s="2">
        <v>45923</v>
      </c>
      <c r="K1001" s="1" t="s">
        <v>2543</v>
      </c>
    </row>
    <row r="1002" spans="1:11" x14ac:dyDescent="0.35">
      <c r="A1002" s="3" t="s">
        <v>2494</v>
      </c>
      <c r="B1002" s="1" t="s">
        <v>2521</v>
      </c>
      <c r="C1002" s="1" t="s">
        <v>2547</v>
      </c>
      <c r="D1002" s="1" t="str">
        <f>"6760"</f>
        <v>6760</v>
      </c>
      <c r="E1002" s="1" t="s">
        <v>680</v>
      </c>
      <c r="F1002" s="1" t="s">
        <v>681</v>
      </c>
      <c r="G1002" s="3" t="s">
        <v>15</v>
      </c>
      <c r="H1002" s="3" t="str">
        <f>"3"</f>
        <v>3</v>
      </c>
      <c r="I1002" s="4" t="str">
        <f>"100"</f>
        <v>100</v>
      </c>
      <c r="J1002" s="2">
        <v>45923</v>
      </c>
      <c r="K1002" s="1" t="s">
        <v>2548</v>
      </c>
    </row>
    <row r="1003" spans="1:11" x14ac:dyDescent="0.35">
      <c r="A1003" s="3" t="s">
        <v>2494</v>
      </c>
      <c r="B1003" s="1" t="s">
        <v>2521</v>
      </c>
      <c r="C1003" s="1" t="s">
        <v>2529</v>
      </c>
      <c r="D1003" s="1" t="str">
        <f>"5965"</f>
        <v>5965</v>
      </c>
      <c r="E1003" s="1" t="s">
        <v>2530</v>
      </c>
      <c r="F1003" s="1" t="s">
        <v>2531</v>
      </c>
      <c r="G1003" s="3" t="s">
        <v>15</v>
      </c>
      <c r="H1003" s="3" t="str">
        <f>"4"</f>
        <v>4</v>
      </c>
      <c r="I1003" s="4" t="str">
        <f>"200"</f>
        <v>200</v>
      </c>
      <c r="J1003" s="2">
        <v>45922</v>
      </c>
      <c r="K1003" s="1" t="s">
        <v>2532</v>
      </c>
    </row>
    <row r="1004" spans="1:11" x14ac:dyDescent="0.35">
      <c r="A1004" s="3" t="s">
        <v>2494</v>
      </c>
      <c r="B1004" s="1" t="s">
        <v>2521</v>
      </c>
      <c r="C1004" s="1" t="s">
        <v>2538</v>
      </c>
      <c r="D1004" s="1" t="str">
        <f>"6230"</f>
        <v>6230</v>
      </c>
      <c r="E1004" s="1" t="s">
        <v>178</v>
      </c>
      <c r="F1004" s="1" t="s">
        <v>179</v>
      </c>
      <c r="G1004" s="3" t="s">
        <v>15</v>
      </c>
      <c r="H1004" s="3" t="str">
        <f>"3"</f>
        <v>3</v>
      </c>
      <c r="I1004" s="4">
        <v>144.26</v>
      </c>
      <c r="J1004" s="2">
        <v>45922</v>
      </c>
      <c r="K1004" s="1" t="s">
        <v>2539</v>
      </c>
    </row>
    <row r="1005" spans="1:11" x14ac:dyDescent="0.35">
      <c r="A1005" s="3" t="s">
        <v>2494</v>
      </c>
      <c r="B1005" s="1" t="s">
        <v>2521</v>
      </c>
      <c r="C1005" s="1" t="s">
        <v>2540</v>
      </c>
      <c r="D1005" s="1" t="str">
        <f>"6230"</f>
        <v>6230</v>
      </c>
      <c r="E1005" s="1" t="s">
        <v>178</v>
      </c>
      <c r="F1005" s="1" t="s">
        <v>179</v>
      </c>
      <c r="G1005" s="3" t="s">
        <v>15</v>
      </c>
      <c r="H1005" s="3" t="str">
        <f>"1"</f>
        <v>1</v>
      </c>
      <c r="I1005" s="4">
        <v>144.26</v>
      </c>
      <c r="J1005" s="2">
        <v>45922</v>
      </c>
      <c r="K1005" s="1" t="s">
        <v>2541</v>
      </c>
    </row>
    <row r="1006" spans="1:11" x14ac:dyDescent="0.35">
      <c r="A1006" s="3" t="s">
        <v>2494</v>
      </c>
      <c r="B1006" s="1" t="s">
        <v>2495</v>
      </c>
      <c r="C1006" s="1" t="s">
        <v>2498</v>
      </c>
      <c r="D1006" s="1" t="str">
        <f>"5855"</f>
        <v>5855</v>
      </c>
      <c r="E1006" s="1" t="str">
        <f>"015847217"</f>
        <v>015847217</v>
      </c>
      <c r="F1006" s="1" t="s">
        <v>1942</v>
      </c>
      <c r="G1006" s="3" t="s">
        <v>15</v>
      </c>
      <c r="H1006" s="3" t="str">
        <f>"6"</f>
        <v>6</v>
      </c>
      <c r="I1006" s="4" t="str">
        <f>"35674"</f>
        <v>35674</v>
      </c>
      <c r="J1006" s="2">
        <v>45920</v>
      </c>
      <c r="K1006" s="1" t="s">
        <v>2499</v>
      </c>
    </row>
    <row r="1007" spans="1:11" x14ac:dyDescent="0.35">
      <c r="A1007" s="3" t="s">
        <v>2494</v>
      </c>
      <c r="B1007" s="1" t="s">
        <v>2558</v>
      </c>
      <c r="C1007" s="1" t="s">
        <v>2559</v>
      </c>
      <c r="D1007" s="1" t="str">
        <f>"6545"</f>
        <v>6545</v>
      </c>
      <c r="E1007" s="1" t="str">
        <f>"015369467"</f>
        <v>015369467</v>
      </c>
      <c r="F1007" s="1" t="s">
        <v>2560</v>
      </c>
      <c r="G1007" s="3" t="s">
        <v>15</v>
      </c>
      <c r="H1007" s="3" t="str">
        <f>"100"</f>
        <v>100</v>
      </c>
      <c r="I1007" s="4">
        <v>729.46</v>
      </c>
      <c r="J1007" s="2">
        <v>45920</v>
      </c>
      <c r="K1007" s="1" t="s">
        <v>2561</v>
      </c>
    </row>
    <row r="1008" spans="1:11" x14ac:dyDescent="0.35">
      <c r="A1008" s="3" t="s">
        <v>2494</v>
      </c>
      <c r="B1008" s="1" t="s">
        <v>2584</v>
      </c>
      <c r="C1008" s="1" t="s">
        <v>2588</v>
      </c>
      <c r="D1008" s="1" t="str">
        <f>"5855"</f>
        <v>5855</v>
      </c>
      <c r="E1008" s="1" t="str">
        <f>"014778738"</f>
        <v>014778738</v>
      </c>
      <c r="F1008" s="1" t="s">
        <v>1942</v>
      </c>
      <c r="G1008" s="3" t="s">
        <v>15</v>
      </c>
      <c r="H1008" s="3" t="str">
        <f>"25"</f>
        <v>25</v>
      </c>
      <c r="I1008" s="4" t="str">
        <f>"7830"</f>
        <v>7830</v>
      </c>
      <c r="J1008" s="2">
        <v>45920</v>
      </c>
      <c r="K1008" s="1" t="s">
        <v>2589</v>
      </c>
    </row>
    <row r="1009" spans="1:11" x14ac:dyDescent="0.35">
      <c r="A1009" s="3" t="s">
        <v>2494</v>
      </c>
      <c r="B1009" s="1" t="s">
        <v>2584</v>
      </c>
      <c r="C1009" s="1" t="s">
        <v>2590</v>
      </c>
      <c r="D1009" s="1" t="str">
        <f>"5855"</f>
        <v>5855</v>
      </c>
      <c r="E1009" s="1" t="str">
        <f>"015847217"</f>
        <v>015847217</v>
      </c>
      <c r="F1009" s="1" t="s">
        <v>1942</v>
      </c>
      <c r="G1009" s="3" t="s">
        <v>15</v>
      </c>
      <c r="H1009" s="3" t="str">
        <f>"25"</f>
        <v>25</v>
      </c>
      <c r="I1009" s="4" t="str">
        <f>"35674"</f>
        <v>35674</v>
      </c>
      <c r="J1009" s="2">
        <v>45920</v>
      </c>
      <c r="K1009" s="1" t="s">
        <v>2591</v>
      </c>
    </row>
    <row r="1010" spans="1:11" x14ac:dyDescent="0.35">
      <c r="A1010" s="3" t="s">
        <v>2494</v>
      </c>
      <c r="B1010" s="1" t="s">
        <v>2617</v>
      </c>
      <c r="C1010" s="1" t="s">
        <v>2620</v>
      </c>
      <c r="D1010" s="1" t="str">
        <f>"5855"</f>
        <v>5855</v>
      </c>
      <c r="E1010" s="1" t="str">
        <f>"015847217"</f>
        <v>015847217</v>
      </c>
      <c r="F1010" s="1" t="s">
        <v>1942</v>
      </c>
      <c r="G1010" s="3" t="s">
        <v>15</v>
      </c>
      <c r="H1010" s="3" t="str">
        <f>"15"</f>
        <v>15</v>
      </c>
      <c r="I1010" s="4" t="str">
        <f>"35674"</f>
        <v>35674</v>
      </c>
      <c r="J1010" s="2">
        <v>45920</v>
      </c>
      <c r="K1010" s="1" t="s">
        <v>2621</v>
      </c>
    </row>
    <row r="1011" spans="1:11" x14ac:dyDescent="0.35">
      <c r="A1011" s="3" t="s">
        <v>2494</v>
      </c>
      <c r="B1011" s="1" t="s">
        <v>2495</v>
      </c>
      <c r="C1011" s="1" t="s">
        <v>2504</v>
      </c>
      <c r="D1011" s="1" t="str">
        <f>"5855"</f>
        <v>5855</v>
      </c>
      <c r="E1011" s="1" t="str">
        <f>"014778738"</f>
        <v>014778738</v>
      </c>
      <c r="F1011" s="1" t="s">
        <v>1942</v>
      </c>
      <c r="G1011" s="3" t="s">
        <v>15</v>
      </c>
      <c r="H1011" s="3" t="str">
        <f>"5"</f>
        <v>5</v>
      </c>
      <c r="I1011" s="4" t="str">
        <f>"7830"</f>
        <v>7830</v>
      </c>
      <c r="J1011" s="2">
        <v>45913</v>
      </c>
      <c r="K1011" s="1" t="s">
        <v>2505</v>
      </c>
    </row>
    <row r="1012" spans="1:11" x14ac:dyDescent="0.35">
      <c r="A1012" s="3" t="s">
        <v>2494</v>
      </c>
      <c r="B1012" s="1" t="s">
        <v>2521</v>
      </c>
      <c r="C1012" s="1" t="s">
        <v>2522</v>
      </c>
      <c r="D1012" s="1" t="str">
        <f>"1240"</f>
        <v>1240</v>
      </c>
      <c r="E1012" s="1" t="str">
        <f>"015620953"</f>
        <v>015620953</v>
      </c>
      <c r="F1012" s="1" t="s">
        <v>2523</v>
      </c>
      <c r="G1012" s="3" t="s">
        <v>15</v>
      </c>
      <c r="H1012" s="3" t="str">
        <f>"3"</f>
        <v>3</v>
      </c>
      <c r="I1012" s="4">
        <v>1602.37</v>
      </c>
      <c r="J1012" s="2">
        <v>45911</v>
      </c>
      <c r="K1012" s="1" t="s">
        <v>2524</v>
      </c>
    </row>
    <row r="1013" spans="1:11" x14ac:dyDescent="0.35">
      <c r="A1013" s="3" t="s">
        <v>2494</v>
      </c>
      <c r="B1013" s="1" t="s">
        <v>2605</v>
      </c>
      <c r="C1013" s="1" t="s">
        <v>2606</v>
      </c>
      <c r="D1013" s="1" t="str">
        <f>"2320"</f>
        <v>2320</v>
      </c>
      <c r="E1013" s="1" t="str">
        <f>"014476343"</f>
        <v>014476343</v>
      </c>
      <c r="F1013" s="1" t="s">
        <v>373</v>
      </c>
      <c r="G1013" s="3" t="s">
        <v>15</v>
      </c>
      <c r="H1013" s="3" t="str">
        <f>"1"</f>
        <v>1</v>
      </c>
      <c r="I1013" s="4" t="str">
        <f>"176428"</f>
        <v>176428</v>
      </c>
      <c r="J1013" s="2">
        <v>45909</v>
      </c>
      <c r="K1013" s="1" t="s">
        <v>2607</v>
      </c>
    </row>
    <row r="1014" spans="1:11" x14ac:dyDescent="0.35">
      <c r="A1014" s="3" t="s">
        <v>2494</v>
      </c>
      <c r="B1014" s="1" t="s">
        <v>2617</v>
      </c>
      <c r="C1014" s="1" t="s">
        <v>2618</v>
      </c>
      <c r="D1014" s="1" t="str">
        <f>"1550"</f>
        <v>1550</v>
      </c>
      <c r="E1014" s="1" t="str">
        <f>"016215533"</f>
        <v>016215533</v>
      </c>
      <c r="F1014" s="1" t="s">
        <v>2334</v>
      </c>
      <c r="G1014" s="3" t="s">
        <v>15</v>
      </c>
      <c r="H1014" s="3" t="str">
        <f>"2"</f>
        <v>2</v>
      </c>
      <c r="I1014" s="4" t="str">
        <f>"168000"</f>
        <v>168000</v>
      </c>
      <c r="J1014" s="2">
        <v>45905</v>
      </c>
      <c r="K1014" s="1" t="s">
        <v>2619</v>
      </c>
    </row>
    <row r="1015" spans="1:11" x14ac:dyDescent="0.35">
      <c r="A1015" s="3" t="s">
        <v>2494</v>
      </c>
      <c r="B1015" s="1" t="s">
        <v>2514</v>
      </c>
      <c r="C1015" s="1" t="s">
        <v>2515</v>
      </c>
      <c r="D1015" s="1" t="str">
        <f>"8465"</f>
        <v>8465</v>
      </c>
      <c r="E1015" s="1" t="s">
        <v>2516</v>
      </c>
      <c r="F1015" s="1" t="s">
        <v>2517</v>
      </c>
      <c r="G1015" s="3" t="s">
        <v>15</v>
      </c>
      <c r="H1015" s="3" t="str">
        <f>"44"</f>
        <v>44</v>
      </c>
      <c r="I1015" s="4" t="str">
        <f>"10"</f>
        <v>10</v>
      </c>
      <c r="J1015" s="2">
        <v>45903</v>
      </c>
      <c r="K1015" s="1" t="s">
        <v>2518</v>
      </c>
    </row>
    <row r="1016" spans="1:11" x14ac:dyDescent="0.35">
      <c r="A1016" s="3" t="s">
        <v>2494</v>
      </c>
      <c r="B1016" s="1" t="s">
        <v>2514</v>
      </c>
      <c r="C1016" s="1" t="s">
        <v>2519</v>
      </c>
      <c r="D1016" s="1" t="str">
        <f>"8465"</f>
        <v>8465</v>
      </c>
      <c r="E1016" s="1" t="s">
        <v>2516</v>
      </c>
      <c r="F1016" s="1" t="s">
        <v>2517</v>
      </c>
      <c r="G1016" s="3" t="s">
        <v>15</v>
      </c>
      <c r="H1016" s="3" t="str">
        <f>"44"</f>
        <v>44</v>
      </c>
      <c r="I1016" s="4" t="str">
        <f>"10"</f>
        <v>10</v>
      </c>
      <c r="J1016" s="2">
        <v>45903</v>
      </c>
      <c r="K1016" s="1" t="s">
        <v>2520</v>
      </c>
    </row>
    <row r="1017" spans="1:11" x14ac:dyDescent="0.35">
      <c r="A1017" s="3" t="s">
        <v>2494</v>
      </c>
      <c r="B1017" s="1" t="s">
        <v>2600</v>
      </c>
      <c r="C1017" s="1" t="s">
        <v>2601</v>
      </c>
      <c r="D1017" s="1" t="str">
        <f>"2330"</f>
        <v>2330</v>
      </c>
      <c r="E1017" s="1" t="s">
        <v>70</v>
      </c>
      <c r="F1017" s="1" t="s">
        <v>71</v>
      </c>
      <c r="G1017" s="3" t="s">
        <v>15</v>
      </c>
      <c r="H1017" s="3" t="str">
        <f>"1"</f>
        <v>1</v>
      </c>
      <c r="I1017" s="4" t="str">
        <f>"8000"</f>
        <v>8000</v>
      </c>
      <c r="J1017" s="2">
        <v>45895</v>
      </c>
      <c r="K1017" s="1" t="s">
        <v>2602</v>
      </c>
    </row>
    <row r="1018" spans="1:11" x14ac:dyDescent="0.35">
      <c r="A1018" s="3" t="s">
        <v>2494</v>
      </c>
      <c r="B1018" s="1" t="s">
        <v>2600</v>
      </c>
      <c r="C1018" s="1" t="s">
        <v>2603</v>
      </c>
      <c r="D1018" s="1" t="str">
        <f>"2330"</f>
        <v>2330</v>
      </c>
      <c r="E1018" s="1" t="s">
        <v>70</v>
      </c>
      <c r="F1018" s="1" t="s">
        <v>71</v>
      </c>
      <c r="G1018" s="3" t="s">
        <v>15</v>
      </c>
      <c r="H1018" s="3" t="str">
        <f>"1"</f>
        <v>1</v>
      </c>
      <c r="I1018" s="4" t="str">
        <f>"10000"</f>
        <v>10000</v>
      </c>
      <c r="J1018" s="2">
        <v>45895</v>
      </c>
      <c r="K1018" s="1" t="s">
        <v>2604</v>
      </c>
    </row>
    <row r="1019" spans="1:11" x14ac:dyDescent="0.35">
      <c r="A1019" s="3" t="s">
        <v>2494</v>
      </c>
      <c r="B1019" s="1" t="s">
        <v>2622</v>
      </c>
      <c r="C1019" s="1" t="s">
        <v>2623</v>
      </c>
      <c r="D1019" s="1" t="str">
        <f>"2320"</f>
        <v>2320</v>
      </c>
      <c r="E1019" s="1" t="str">
        <f>"014474938"</f>
        <v>014474938</v>
      </c>
      <c r="F1019" s="1" t="s">
        <v>117</v>
      </c>
      <c r="G1019" s="3" t="s">
        <v>15</v>
      </c>
      <c r="H1019" s="3" t="str">
        <f>"1"</f>
        <v>1</v>
      </c>
      <c r="I1019" s="4" t="str">
        <f>"230363"</f>
        <v>230363</v>
      </c>
      <c r="J1019" s="2">
        <v>45890</v>
      </c>
      <c r="K1019" s="1" t="s">
        <v>2624</v>
      </c>
    </row>
    <row r="1020" spans="1:11" x14ac:dyDescent="0.35">
      <c r="A1020" s="3" t="s">
        <v>2494</v>
      </c>
      <c r="B1020" s="1" t="s">
        <v>2608</v>
      </c>
      <c r="C1020" s="1" t="s">
        <v>2609</v>
      </c>
      <c r="D1020" s="1" t="str">
        <f>"2340"</f>
        <v>2340</v>
      </c>
      <c r="E1020" s="1" t="s">
        <v>647</v>
      </c>
      <c r="F1020" s="1" t="s">
        <v>648</v>
      </c>
      <c r="G1020" s="3" t="s">
        <v>15</v>
      </c>
      <c r="H1020" s="3" t="str">
        <f>"1"</f>
        <v>1</v>
      </c>
      <c r="I1020" s="4" t="str">
        <f>"9200"</f>
        <v>9200</v>
      </c>
      <c r="J1020" s="2">
        <v>45887</v>
      </c>
      <c r="K1020" s="1" t="s">
        <v>2610</v>
      </c>
    </row>
    <row r="1021" spans="1:11" x14ac:dyDescent="0.35">
      <c r="A1021" s="3" t="s">
        <v>2494</v>
      </c>
      <c r="B1021" s="1" t="s">
        <v>2608</v>
      </c>
      <c r="C1021" s="1" t="s">
        <v>2611</v>
      </c>
      <c r="D1021" s="1" t="str">
        <f>"2510"</f>
        <v>2510</v>
      </c>
      <c r="E1021" s="1" t="str">
        <f>"013306176"</f>
        <v>013306176</v>
      </c>
      <c r="F1021" s="1" t="s">
        <v>2612</v>
      </c>
      <c r="G1021" s="3" t="s">
        <v>15</v>
      </c>
      <c r="H1021" s="3" t="str">
        <f>"1"</f>
        <v>1</v>
      </c>
      <c r="I1021" s="4">
        <v>190.12</v>
      </c>
      <c r="J1021" s="2">
        <v>45887</v>
      </c>
      <c r="K1021" s="1" t="s">
        <v>2613</v>
      </c>
    </row>
    <row r="1022" spans="1:11" x14ac:dyDescent="0.35">
      <c r="A1022" s="3" t="s">
        <v>2494</v>
      </c>
      <c r="B1022" s="1" t="s">
        <v>2608</v>
      </c>
      <c r="C1022" s="1" t="s">
        <v>2614</v>
      </c>
      <c r="D1022" s="1" t="str">
        <f>"3990"</f>
        <v>3990</v>
      </c>
      <c r="E1022" s="1" t="str">
        <f>"016197774"</f>
        <v>016197774</v>
      </c>
      <c r="F1022" s="1" t="s">
        <v>2615</v>
      </c>
      <c r="G1022" s="3" t="s">
        <v>15</v>
      </c>
      <c r="H1022" s="3" t="str">
        <f>"10"</f>
        <v>10</v>
      </c>
      <c r="I1022" s="4">
        <v>155.37</v>
      </c>
      <c r="J1022" s="2">
        <v>45887</v>
      </c>
      <c r="K1022" s="1" t="s">
        <v>2616</v>
      </c>
    </row>
    <row r="1023" spans="1:11" x14ac:dyDescent="0.35">
      <c r="A1023" s="3" t="s">
        <v>2494</v>
      </c>
      <c r="B1023" s="1" t="s">
        <v>2495</v>
      </c>
      <c r="C1023" s="1" t="s">
        <v>2500</v>
      </c>
      <c r="D1023" s="1" t="str">
        <f>"5855"</f>
        <v>5855</v>
      </c>
      <c r="E1023" s="1" t="s">
        <v>1926</v>
      </c>
      <c r="F1023" s="1" t="s">
        <v>1927</v>
      </c>
      <c r="G1023" s="3" t="s">
        <v>15</v>
      </c>
      <c r="H1023" s="3" t="str">
        <f>"1"</f>
        <v>1</v>
      </c>
      <c r="I1023" s="4" t="str">
        <f>"15000"</f>
        <v>15000</v>
      </c>
      <c r="J1023" s="2">
        <v>45883</v>
      </c>
      <c r="K1023" s="1" t="s">
        <v>2501</v>
      </c>
    </row>
    <row r="1024" spans="1:11" x14ac:dyDescent="0.35">
      <c r="A1024" s="3" t="s">
        <v>2494</v>
      </c>
      <c r="B1024" s="1" t="s">
        <v>2495</v>
      </c>
      <c r="C1024" s="1" t="s">
        <v>2502</v>
      </c>
      <c r="D1024" s="1" t="str">
        <f>"5855"</f>
        <v>5855</v>
      </c>
      <c r="E1024" s="1" t="s">
        <v>1926</v>
      </c>
      <c r="F1024" s="1" t="s">
        <v>1927</v>
      </c>
      <c r="G1024" s="3" t="s">
        <v>15</v>
      </c>
      <c r="H1024" s="3" t="str">
        <f>"3"</f>
        <v>3</v>
      </c>
      <c r="I1024" s="4" t="str">
        <f>"15000"</f>
        <v>15000</v>
      </c>
      <c r="J1024" s="2">
        <v>45883</v>
      </c>
      <c r="K1024" s="1" t="s">
        <v>2503</v>
      </c>
    </row>
    <row r="1025" spans="1:11" x14ac:dyDescent="0.35">
      <c r="A1025" s="3" t="s">
        <v>2494</v>
      </c>
      <c r="B1025" s="1" t="s">
        <v>2584</v>
      </c>
      <c r="C1025" s="1" t="s">
        <v>2585</v>
      </c>
      <c r="D1025" s="1" t="str">
        <f>"2320"</f>
        <v>2320</v>
      </c>
      <c r="E1025" s="1" t="s">
        <v>274</v>
      </c>
      <c r="F1025" s="1" t="s">
        <v>275</v>
      </c>
      <c r="G1025" s="3" t="s">
        <v>15</v>
      </c>
      <c r="H1025" s="3" t="str">
        <f>"1"</f>
        <v>1</v>
      </c>
      <c r="I1025" s="4">
        <v>27565.93</v>
      </c>
      <c r="J1025" s="2">
        <v>45883</v>
      </c>
      <c r="K1025" s="1" t="s">
        <v>2586</v>
      </c>
    </row>
    <row r="1026" spans="1:11" x14ac:dyDescent="0.35">
      <c r="A1026" s="3" t="s">
        <v>2494</v>
      </c>
      <c r="B1026" s="1" t="s">
        <v>2584</v>
      </c>
      <c r="C1026" s="1" t="s">
        <v>2587</v>
      </c>
      <c r="D1026" s="1" t="str">
        <f>"2320"</f>
        <v>2320</v>
      </c>
      <c r="E1026" s="1" t="s">
        <v>274</v>
      </c>
      <c r="F1026" s="1" t="s">
        <v>275</v>
      </c>
      <c r="G1026" s="3" t="s">
        <v>15</v>
      </c>
      <c r="H1026" s="3" t="str">
        <f>"1"</f>
        <v>1</v>
      </c>
      <c r="I1026" s="4">
        <v>27284.14</v>
      </c>
      <c r="J1026" s="2">
        <v>45880</v>
      </c>
      <c r="K1026" s="1" t="s">
        <v>2586</v>
      </c>
    </row>
    <row r="1027" spans="1:11" x14ac:dyDescent="0.35">
      <c r="A1027" s="3" t="s">
        <v>2494</v>
      </c>
      <c r="B1027" s="1" t="s">
        <v>2622</v>
      </c>
      <c r="C1027" s="1" t="s">
        <v>2625</v>
      </c>
      <c r="D1027" s="1" t="str">
        <f>"2330"</f>
        <v>2330</v>
      </c>
      <c r="E1027" s="1" t="s">
        <v>70</v>
      </c>
      <c r="F1027" s="1" t="s">
        <v>71</v>
      </c>
      <c r="G1027" s="3" t="s">
        <v>15</v>
      </c>
      <c r="H1027" s="3" t="str">
        <f>"1"</f>
        <v>1</v>
      </c>
      <c r="I1027" s="4" t="str">
        <f>"5894"</f>
        <v>5894</v>
      </c>
      <c r="J1027" s="2">
        <v>45876</v>
      </c>
      <c r="K1027" s="1" t="s">
        <v>2626</v>
      </c>
    </row>
    <row r="1028" spans="1:11" x14ac:dyDescent="0.35">
      <c r="A1028" s="3" t="s">
        <v>2494</v>
      </c>
      <c r="B1028" s="1" t="s">
        <v>2506</v>
      </c>
      <c r="C1028" s="1" t="s">
        <v>2507</v>
      </c>
      <c r="D1028" s="1" t="str">
        <f>"4240"</f>
        <v>4240</v>
      </c>
      <c r="E1028" s="1" t="str">
        <f>"015316792"</f>
        <v>015316792</v>
      </c>
      <c r="F1028" s="1" t="s">
        <v>2508</v>
      </c>
      <c r="G1028" s="3" t="s">
        <v>15</v>
      </c>
      <c r="H1028" s="3" t="str">
        <f>"30"</f>
        <v>30</v>
      </c>
      <c r="I1028" s="4">
        <v>11.88</v>
      </c>
      <c r="J1028" s="2">
        <v>45875</v>
      </c>
      <c r="K1028" s="1" t="s">
        <v>2509</v>
      </c>
    </row>
    <row r="1029" spans="1:11" x14ac:dyDescent="0.35">
      <c r="A1029" s="3" t="s">
        <v>2494</v>
      </c>
      <c r="B1029" s="1" t="s">
        <v>2506</v>
      </c>
      <c r="C1029" s="1" t="s">
        <v>2510</v>
      </c>
      <c r="D1029" s="1" t="str">
        <f>"8145"</f>
        <v>8145</v>
      </c>
      <c r="E1029" s="1" t="str">
        <f>"016536532"</f>
        <v>016536532</v>
      </c>
      <c r="F1029" s="1" t="s">
        <v>1661</v>
      </c>
      <c r="G1029" s="3" t="s">
        <v>15</v>
      </c>
      <c r="H1029" s="3" t="str">
        <f>"2"</f>
        <v>2</v>
      </c>
      <c r="I1029" s="4" t="str">
        <f>"1114"</f>
        <v>1114</v>
      </c>
      <c r="J1029" s="2">
        <v>45875</v>
      </c>
      <c r="K1029" s="1" t="s">
        <v>2511</v>
      </c>
    </row>
    <row r="1030" spans="1:11" x14ac:dyDescent="0.35">
      <c r="A1030" s="3" t="s">
        <v>2494</v>
      </c>
      <c r="B1030" s="1" t="s">
        <v>2506</v>
      </c>
      <c r="C1030" s="1" t="s">
        <v>2512</v>
      </c>
      <c r="D1030" s="1" t="str">
        <f>"8145"</f>
        <v>8145</v>
      </c>
      <c r="E1030" s="1" t="str">
        <f>"016689300"</f>
        <v>016689300</v>
      </c>
      <c r="F1030" s="1" t="s">
        <v>1661</v>
      </c>
      <c r="G1030" s="3" t="s">
        <v>15</v>
      </c>
      <c r="H1030" s="3" t="str">
        <f>"2"</f>
        <v>2</v>
      </c>
      <c r="I1030" s="4" t="str">
        <f>"2367"</f>
        <v>2367</v>
      </c>
      <c r="J1030" s="2">
        <v>45875</v>
      </c>
      <c r="K1030" s="1" t="s">
        <v>2513</v>
      </c>
    </row>
    <row r="1031" spans="1:11" x14ac:dyDescent="0.35">
      <c r="A1031" s="3" t="s">
        <v>2494</v>
      </c>
      <c r="B1031" s="1" t="s">
        <v>2576</v>
      </c>
      <c r="C1031" s="1" t="s">
        <v>2577</v>
      </c>
      <c r="D1031" s="1" t="str">
        <f>"5120"</f>
        <v>5120</v>
      </c>
      <c r="E1031" s="1" t="str">
        <f>"008785932"</f>
        <v>008785932</v>
      </c>
      <c r="F1031" s="1" t="s">
        <v>2578</v>
      </c>
      <c r="G1031" s="3" t="s">
        <v>15</v>
      </c>
      <c r="H1031" s="3" t="str">
        <f>"15"</f>
        <v>15</v>
      </c>
      <c r="I1031" s="4">
        <v>97.1</v>
      </c>
      <c r="J1031" s="2">
        <v>45875</v>
      </c>
      <c r="K1031" s="1" t="s">
        <v>2579</v>
      </c>
    </row>
    <row r="1032" spans="1:11" x14ac:dyDescent="0.35">
      <c r="A1032" s="3" t="s">
        <v>2494</v>
      </c>
      <c r="B1032" s="1" t="s">
        <v>2576</v>
      </c>
      <c r="C1032" s="1" t="s">
        <v>2580</v>
      </c>
      <c r="D1032" s="1" t="str">
        <f>"6545"</f>
        <v>6545</v>
      </c>
      <c r="E1032" s="1" t="str">
        <f>"015300929"</f>
        <v>015300929</v>
      </c>
      <c r="F1032" s="1" t="s">
        <v>293</v>
      </c>
      <c r="G1032" s="3" t="s">
        <v>19</v>
      </c>
      <c r="H1032" s="3" t="str">
        <f>"40"</f>
        <v>40</v>
      </c>
      <c r="I1032" s="4">
        <v>62.81</v>
      </c>
      <c r="J1032" s="2">
        <v>45875</v>
      </c>
      <c r="K1032" s="1" t="s">
        <v>2581</v>
      </c>
    </row>
    <row r="1033" spans="1:11" x14ac:dyDescent="0.35">
      <c r="A1033" s="3" t="s">
        <v>2494</v>
      </c>
      <c r="B1033" s="1" t="s">
        <v>2576</v>
      </c>
      <c r="C1033" s="1" t="s">
        <v>2582</v>
      </c>
      <c r="D1033" s="1" t="str">
        <f>"6545"</f>
        <v>6545</v>
      </c>
      <c r="E1033" s="1" t="str">
        <f>"015300929"</f>
        <v>015300929</v>
      </c>
      <c r="F1033" s="1" t="s">
        <v>293</v>
      </c>
      <c r="G1033" s="3" t="s">
        <v>19</v>
      </c>
      <c r="H1033" s="3" t="str">
        <f>"33"</f>
        <v>33</v>
      </c>
      <c r="I1033" s="4">
        <v>62.81</v>
      </c>
      <c r="J1033" s="2">
        <v>45875</v>
      </c>
      <c r="K1033" s="1" t="s">
        <v>2583</v>
      </c>
    </row>
    <row r="1034" spans="1:11" x14ac:dyDescent="0.35">
      <c r="A1034" s="3" t="s">
        <v>2494</v>
      </c>
      <c r="B1034" s="1" t="s">
        <v>2495</v>
      </c>
      <c r="C1034" s="1" t="s">
        <v>2496</v>
      </c>
      <c r="D1034" s="1" t="str">
        <f>"1240"</f>
        <v>1240</v>
      </c>
      <c r="E1034" s="1" t="str">
        <f>"015980150"</f>
        <v>015980150</v>
      </c>
      <c r="F1034" s="1" t="s">
        <v>208</v>
      </c>
      <c r="G1034" s="3" t="s">
        <v>15</v>
      </c>
      <c r="H1034" s="3" t="str">
        <f>"3"</f>
        <v>3</v>
      </c>
      <c r="I1034" s="4" t="str">
        <f>"19077"</f>
        <v>19077</v>
      </c>
      <c r="J1034" s="2">
        <v>45874</v>
      </c>
      <c r="K1034" s="1" t="s">
        <v>2497</v>
      </c>
    </row>
    <row r="1035" spans="1:11" x14ac:dyDescent="0.35">
      <c r="A1035" s="3" t="s">
        <v>2494</v>
      </c>
      <c r="B1035" s="1" t="s">
        <v>2562</v>
      </c>
      <c r="C1035" s="1" t="s">
        <v>2563</v>
      </c>
      <c r="D1035" s="1" t="str">
        <f>"6115"</f>
        <v>6115</v>
      </c>
      <c r="E1035" s="1" t="str">
        <f>"016122549"</f>
        <v>016122549</v>
      </c>
      <c r="F1035" s="1" t="s">
        <v>1392</v>
      </c>
      <c r="G1035" s="3" t="s">
        <v>15</v>
      </c>
      <c r="H1035" s="3" t="str">
        <f>"3"</f>
        <v>3</v>
      </c>
      <c r="I1035" s="4" t="str">
        <f>"7566"</f>
        <v>7566</v>
      </c>
      <c r="J1035" s="2">
        <v>45857</v>
      </c>
      <c r="K1035" s="1" t="s">
        <v>2564</v>
      </c>
    </row>
    <row r="1036" spans="1:11" x14ac:dyDescent="0.35">
      <c r="A1036" s="3" t="s">
        <v>2494</v>
      </c>
      <c r="B1036" s="1" t="s">
        <v>2562</v>
      </c>
      <c r="C1036" s="1" t="s">
        <v>2565</v>
      </c>
      <c r="D1036" s="1" t="str">
        <f>"6115"</f>
        <v>6115</v>
      </c>
      <c r="E1036" s="1" t="str">
        <f>"016122549"</f>
        <v>016122549</v>
      </c>
      <c r="F1036" s="1" t="s">
        <v>1392</v>
      </c>
      <c r="G1036" s="3" t="s">
        <v>15</v>
      </c>
      <c r="H1036" s="3" t="str">
        <f>"1"</f>
        <v>1</v>
      </c>
      <c r="I1036" s="4" t="str">
        <f>"7566"</f>
        <v>7566</v>
      </c>
      <c r="J1036" s="2">
        <v>45857</v>
      </c>
      <c r="K1036" s="1" t="s">
        <v>2564</v>
      </c>
    </row>
    <row r="1037" spans="1:11" x14ac:dyDescent="0.35">
      <c r="A1037" s="3" t="s">
        <v>2494</v>
      </c>
      <c r="B1037" s="1" t="s">
        <v>2562</v>
      </c>
      <c r="C1037" s="1" t="s">
        <v>2566</v>
      </c>
      <c r="D1037" s="1" t="str">
        <f>"8465"</f>
        <v>8465</v>
      </c>
      <c r="E1037" s="1" t="str">
        <f>"013936515"</f>
        <v>013936515</v>
      </c>
      <c r="F1037" s="1" t="s">
        <v>849</v>
      </c>
      <c r="G1037" s="3" t="s">
        <v>15</v>
      </c>
      <c r="H1037" s="3" t="str">
        <f>"2"</f>
        <v>2</v>
      </c>
      <c r="I1037" s="4">
        <v>56.45</v>
      </c>
      <c r="J1037" s="2">
        <v>45857</v>
      </c>
      <c r="K1037" s="1" t="s">
        <v>2567</v>
      </c>
    </row>
    <row r="1038" spans="1:11" x14ac:dyDescent="0.35">
      <c r="A1038" s="3" t="s">
        <v>2494</v>
      </c>
      <c r="B1038" s="1" t="s">
        <v>2562</v>
      </c>
      <c r="C1038" s="1" t="s">
        <v>2568</v>
      </c>
      <c r="D1038" s="1" t="str">
        <f>"8465"</f>
        <v>8465</v>
      </c>
      <c r="E1038" s="1" t="s">
        <v>2516</v>
      </c>
      <c r="F1038" s="1" t="s">
        <v>2517</v>
      </c>
      <c r="G1038" s="3" t="s">
        <v>15</v>
      </c>
      <c r="H1038" s="3" t="str">
        <f>"21"</f>
        <v>21</v>
      </c>
      <c r="I1038" s="4" t="str">
        <f>"25"</f>
        <v>25</v>
      </c>
      <c r="J1038" s="2">
        <v>45857</v>
      </c>
      <c r="K1038" s="1" t="s">
        <v>2569</v>
      </c>
    </row>
    <row r="1039" spans="1:11" x14ac:dyDescent="0.35">
      <c r="A1039" s="3" t="s">
        <v>2638</v>
      </c>
      <c r="B1039" s="1" t="s">
        <v>2713</v>
      </c>
      <c r="C1039" s="1" t="s">
        <v>2714</v>
      </c>
      <c r="D1039" s="1" t="str">
        <f>"8415"</f>
        <v>8415</v>
      </c>
      <c r="E1039" s="1" t="str">
        <f>"015801355"</f>
        <v>015801355</v>
      </c>
      <c r="F1039" s="1" t="s">
        <v>839</v>
      </c>
      <c r="G1039" s="3" t="s">
        <v>15</v>
      </c>
      <c r="H1039" s="3" t="str">
        <f>"50"</f>
        <v>50</v>
      </c>
      <c r="I1039" s="4">
        <v>81.66</v>
      </c>
      <c r="J1039" s="2">
        <v>45919</v>
      </c>
      <c r="K1039" s="1" t="s">
        <v>2715</v>
      </c>
    </row>
    <row r="1040" spans="1:11" x14ac:dyDescent="0.35">
      <c r="A1040" s="3" t="s">
        <v>2638</v>
      </c>
      <c r="B1040" s="1" t="s">
        <v>2645</v>
      </c>
      <c r="C1040" s="1" t="s">
        <v>2646</v>
      </c>
      <c r="D1040" s="1" t="str">
        <f>"1240"</f>
        <v>1240</v>
      </c>
      <c r="E1040" s="1" t="str">
        <f>"015751099"</f>
        <v>015751099</v>
      </c>
      <c r="F1040" s="1" t="s">
        <v>868</v>
      </c>
      <c r="G1040" s="3" t="s">
        <v>15</v>
      </c>
      <c r="H1040" s="3" t="str">
        <f>"5"</f>
        <v>5</v>
      </c>
      <c r="I1040" s="4" t="str">
        <f>"1055"</f>
        <v>1055</v>
      </c>
      <c r="J1040" s="2">
        <v>45911</v>
      </c>
      <c r="K1040" s="1" t="s">
        <v>2647</v>
      </c>
    </row>
    <row r="1041" spans="1:11" x14ac:dyDescent="0.35">
      <c r="A1041" s="3" t="s">
        <v>2638</v>
      </c>
      <c r="B1041" s="1" t="s">
        <v>2662</v>
      </c>
      <c r="C1041" s="1" t="s">
        <v>2663</v>
      </c>
      <c r="D1041" s="1" t="str">
        <f>"4240"</f>
        <v>4240</v>
      </c>
      <c r="E1041" s="1" t="str">
        <f>"015803054"</f>
        <v>015803054</v>
      </c>
      <c r="F1041" s="1" t="s">
        <v>2664</v>
      </c>
      <c r="G1041" s="3" t="s">
        <v>15</v>
      </c>
      <c r="H1041" s="3" t="str">
        <f>"53"</f>
        <v>53</v>
      </c>
      <c r="I1041" s="4">
        <v>382.4</v>
      </c>
      <c r="J1041" s="2">
        <v>45911</v>
      </c>
      <c r="K1041" s="1" t="s">
        <v>2665</v>
      </c>
    </row>
    <row r="1042" spans="1:11" x14ac:dyDescent="0.35">
      <c r="A1042" s="3" t="s">
        <v>2638</v>
      </c>
      <c r="B1042" s="1" t="s">
        <v>2666</v>
      </c>
      <c r="C1042" s="1" t="s">
        <v>2675</v>
      </c>
      <c r="D1042" s="1" t="str">
        <f>"7025"</f>
        <v>7025</v>
      </c>
      <c r="E1042" s="1" t="str">
        <f>"014508774"</f>
        <v>014508774</v>
      </c>
      <c r="F1042" s="1" t="s">
        <v>2670</v>
      </c>
      <c r="G1042" s="3" t="s">
        <v>15</v>
      </c>
      <c r="H1042" s="3" t="str">
        <f>"1"</f>
        <v>1</v>
      </c>
      <c r="I1042" s="4">
        <v>1529.75</v>
      </c>
      <c r="J1042" s="2">
        <v>45904</v>
      </c>
      <c r="K1042" s="1" t="s">
        <v>2676</v>
      </c>
    </row>
    <row r="1043" spans="1:11" x14ac:dyDescent="0.35">
      <c r="A1043" s="3" t="s">
        <v>2638</v>
      </c>
      <c r="B1043" s="1" t="s">
        <v>2666</v>
      </c>
      <c r="C1043" s="1" t="s">
        <v>2669</v>
      </c>
      <c r="D1043" s="1" t="str">
        <f>"7025"</f>
        <v>7025</v>
      </c>
      <c r="E1043" s="1" t="str">
        <f>"146026371"</f>
        <v>146026371</v>
      </c>
      <c r="F1043" s="1" t="s">
        <v>2670</v>
      </c>
      <c r="G1043" s="3" t="s">
        <v>15</v>
      </c>
      <c r="H1043" s="3" t="str">
        <f>"2"</f>
        <v>2</v>
      </c>
      <c r="I1043" s="4">
        <v>1908.21</v>
      </c>
      <c r="J1043" s="2">
        <v>45903</v>
      </c>
      <c r="K1043" s="1" t="s">
        <v>2671</v>
      </c>
    </row>
    <row r="1044" spans="1:11" x14ac:dyDescent="0.35">
      <c r="A1044" s="3" t="s">
        <v>2638</v>
      </c>
      <c r="B1044" s="1" t="s">
        <v>2681</v>
      </c>
      <c r="C1044" s="1" t="s">
        <v>2692</v>
      </c>
      <c r="D1044" s="1" t="str">
        <f>"5945"</f>
        <v>5945</v>
      </c>
      <c r="E1044" s="1" t="str">
        <f>"007893706"</f>
        <v>007893706</v>
      </c>
      <c r="F1044" s="1" t="s">
        <v>2693</v>
      </c>
      <c r="G1044" s="3" t="s">
        <v>15</v>
      </c>
      <c r="H1044" s="3" t="str">
        <f>"2"</f>
        <v>2</v>
      </c>
      <c r="I1044" s="4">
        <v>70.91</v>
      </c>
      <c r="J1044" s="2">
        <v>45903</v>
      </c>
      <c r="K1044" s="1" t="s">
        <v>2694</v>
      </c>
    </row>
    <row r="1045" spans="1:11" x14ac:dyDescent="0.35">
      <c r="A1045" s="3" t="s">
        <v>2638</v>
      </c>
      <c r="B1045" s="1" t="s">
        <v>2677</v>
      </c>
      <c r="C1045" s="1" t="s">
        <v>2678</v>
      </c>
      <c r="D1045" s="1" t="str">
        <f>"5820"</f>
        <v>5820</v>
      </c>
      <c r="E1045" s="1" t="str">
        <f>"016266241"</f>
        <v>016266241</v>
      </c>
      <c r="F1045" s="1" t="s">
        <v>2679</v>
      </c>
      <c r="G1045" s="3" t="s">
        <v>15</v>
      </c>
      <c r="H1045" s="3" t="str">
        <f>"37"</f>
        <v>37</v>
      </c>
      <c r="I1045" s="4" t="str">
        <f>"54100"</f>
        <v>54100</v>
      </c>
      <c r="J1045" s="2">
        <v>45882</v>
      </c>
      <c r="K1045" s="1" t="s">
        <v>2680</v>
      </c>
    </row>
    <row r="1046" spans="1:11" x14ac:dyDescent="0.35">
      <c r="A1046" s="3" t="s">
        <v>2638</v>
      </c>
      <c r="B1046" s="1" t="s">
        <v>2645</v>
      </c>
      <c r="C1046" s="1" t="s">
        <v>2652</v>
      </c>
      <c r="D1046" s="1" t="str">
        <f>"7010"</f>
        <v>7010</v>
      </c>
      <c r="E1046" s="1" t="s">
        <v>364</v>
      </c>
      <c r="F1046" s="1" t="s">
        <v>365</v>
      </c>
      <c r="G1046" s="3" t="s">
        <v>15</v>
      </c>
      <c r="H1046" s="3" t="str">
        <f>"3"</f>
        <v>3</v>
      </c>
      <c r="I1046" s="4" t="str">
        <f>"907"</f>
        <v>907</v>
      </c>
      <c r="J1046" s="2">
        <v>45878</v>
      </c>
      <c r="K1046" s="1" t="s">
        <v>2653</v>
      </c>
    </row>
    <row r="1047" spans="1:11" x14ac:dyDescent="0.35">
      <c r="A1047" s="3" t="s">
        <v>2638</v>
      </c>
      <c r="B1047" s="1" t="s">
        <v>2716</v>
      </c>
      <c r="C1047" s="1" t="s">
        <v>2717</v>
      </c>
      <c r="D1047" s="1" t="str">
        <f>"7105"</f>
        <v>7105</v>
      </c>
      <c r="E1047" s="1" t="str">
        <f>"011543865"</f>
        <v>011543865</v>
      </c>
      <c r="F1047" s="1" t="s">
        <v>2696</v>
      </c>
      <c r="G1047" s="3" t="s">
        <v>15</v>
      </c>
      <c r="H1047" s="3" t="str">
        <f>"11"</f>
        <v>11</v>
      </c>
      <c r="I1047" s="4">
        <v>93.84</v>
      </c>
      <c r="J1047" s="2">
        <v>45878</v>
      </c>
      <c r="K1047" s="1" t="s">
        <v>2718</v>
      </c>
    </row>
    <row r="1048" spans="1:11" x14ac:dyDescent="0.35">
      <c r="A1048" s="3" t="s">
        <v>2638</v>
      </c>
      <c r="B1048" s="1" t="s">
        <v>2716</v>
      </c>
      <c r="C1048" s="1" t="s">
        <v>2719</v>
      </c>
      <c r="D1048" s="1" t="str">
        <f>"7105"</f>
        <v>7105</v>
      </c>
      <c r="E1048" s="1" t="str">
        <f>"011543865"</f>
        <v>011543865</v>
      </c>
      <c r="F1048" s="1" t="s">
        <v>2696</v>
      </c>
      <c r="G1048" s="3" t="s">
        <v>15</v>
      </c>
      <c r="H1048" s="3" t="str">
        <f>"12"</f>
        <v>12</v>
      </c>
      <c r="I1048" s="4">
        <v>93.84</v>
      </c>
      <c r="J1048" s="2">
        <v>45878</v>
      </c>
      <c r="K1048" s="1" t="s">
        <v>2718</v>
      </c>
    </row>
    <row r="1049" spans="1:11" x14ac:dyDescent="0.35">
      <c r="A1049" s="3" t="s">
        <v>2638</v>
      </c>
      <c r="B1049" s="1" t="s">
        <v>2639</v>
      </c>
      <c r="C1049" s="1" t="s">
        <v>2642</v>
      </c>
      <c r="D1049" s="1" t="str">
        <f>"3930"</f>
        <v>3930</v>
      </c>
      <c r="E1049" s="1" t="s">
        <v>150</v>
      </c>
      <c r="F1049" s="1" t="s">
        <v>151</v>
      </c>
      <c r="G1049" s="3" t="s">
        <v>15</v>
      </c>
      <c r="H1049" s="3" t="str">
        <f>"1"</f>
        <v>1</v>
      </c>
      <c r="I1049" s="4" t="str">
        <f>"15000"</f>
        <v>15000</v>
      </c>
      <c r="J1049" s="2">
        <v>45868</v>
      </c>
      <c r="K1049" s="1" t="s">
        <v>2643</v>
      </c>
    </row>
    <row r="1050" spans="1:11" x14ac:dyDescent="0.35">
      <c r="A1050" s="3" t="s">
        <v>2638</v>
      </c>
      <c r="B1050" s="1" t="s">
        <v>2639</v>
      </c>
      <c r="C1050" s="1" t="s">
        <v>2644</v>
      </c>
      <c r="D1050" s="1" t="str">
        <f>"6115"</f>
        <v>6115</v>
      </c>
      <c r="E1050" s="1" t="str">
        <f>"012755061"</f>
        <v>012755061</v>
      </c>
      <c r="F1050" s="1" t="s">
        <v>435</v>
      </c>
      <c r="G1050" s="3" t="s">
        <v>15</v>
      </c>
      <c r="H1050" s="3" t="str">
        <f>"3"</f>
        <v>3</v>
      </c>
      <c r="I1050" s="4" t="str">
        <f>"10700"</f>
        <v>10700</v>
      </c>
      <c r="J1050" s="2">
        <v>45868</v>
      </c>
      <c r="K1050" s="1" t="s">
        <v>4313</v>
      </c>
    </row>
    <row r="1051" spans="1:11" x14ac:dyDescent="0.35">
      <c r="A1051" s="3" t="s">
        <v>2638</v>
      </c>
      <c r="B1051" s="1" t="s">
        <v>2654</v>
      </c>
      <c r="C1051" s="1" t="s">
        <v>2655</v>
      </c>
      <c r="D1051" s="1" t="str">
        <f>"5855"</f>
        <v>5855</v>
      </c>
      <c r="E1051" s="1" t="str">
        <f>"015330555"</f>
        <v>015330555</v>
      </c>
      <c r="F1051" s="1" t="s">
        <v>2656</v>
      </c>
      <c r="G1051" s="3" t="s">
        <v>15</v>
      </c>
      <c r="H1051" s="3" t="str">
        <f>"6"</f>
        <v>6</v>
      </c>
      <c r="I1051" s="4" t="str">
        <f>"1800"</f>
        <v>1800</v>
      </c>
      <c r="J1051" s="2">
        <v>45867</v>
      </c>
      <c r="K1051" s="1" t="s">
        <v>2657</v>
      </c>
    </row>
    <row r="1052" spans="1:11" x14ac:dyDescent="0.35">
      <c r="A1052" s="3" t="s">
        <v>2638</v>
      </c>
      <c r="B1052" s="1" t="s">
        <v>2654</v>
      </c>
      <c r="C1052" s="1" t="s">
        <v>2658</v>
      </c>
      <c r="D1052" s="1" t="str">
        <f>"5855"</f>
        <v>5855</v>
      </c>
      <c r="E1052" s="1" t="str">
        <f>"015330555"</f>
        <v>015330555</v>
      </c>
      <c r="F1052" s="1" t="s">
        <v>2656</v>
      </c>
      <c r="G1052" s="3" t="s">
        <v>15</v>
      </c>
      <c r="H1052" s="3" t="str">
        <f>"13"</f>
        <v>13</v>
      </c>
      <c r="I1052" s="4" t="str">
        <f>"1800"</f>
        <v>1800</v>
      </c>
      <c r="J1052" s="2">
        <v>45867</v>
      </c>
      <c r="K1052" s="1" t="s">
        <v>2659</v>
      </c>
    </row>
    <row r="1053" spans="1:11" x14ac:dyDescent="0.35">
      <c r="A1053" s="3" t="s">
        <v>2638</v>
      </c>
      <c r="B1053" s="1" t="s">
        <v>2654</v>
      </c>
      <c r="C1053" s="1" t="s">
        <v>2660</v>
      </c>
      <c r="D1053" s="1" t="str">
        <f>"5855"</f>
        <v>5855</v>
      </c>
      <c r="E1053" s="1" t="str">
        <f>"016002918"</f>
        <v>016002918</v>
      </c>
      <c r="F1053" s="1" t="s">
        <v>2117</v>
      </c>
      <c r="G1053" s="3" t="s">
        <v>15</v>
      </c>
      <c r="H1053" s="3" t="str">
        <f>"1"</f>
        <v>1</v>
      </c>
      <c r="I1053" s="4" t="str">
        <f>"27000"</f>
        <v>27000</v>
      </c>
      <c r="J1053" s="2">
        <v>45867</v>
      </c>
      <c r="K1053" s="1" t="s">
        <v>2661</v>
      </c>
    </row>
    <row r="1054" spans="1:11" x14ac:dyDescent="0.35">
      <c r="A1054" s="3" t="s">
        <v>2638</v>
      </c>
      <c r="B1054" s="1" t="s">
        <v>2639</v>
      </c>
      <c r="C1054" s="1" t="s">
        <v>2640</v>
      </c>
      <c r="D1054" s="1" t="str">
        <f>"2330"</f>
        <v>2330</v>
      </c>
      <c r="E1054" s="1" t="s">
        <v>70</v>
      </c>
      <c r="F1054" s="1" t="s">
        <v>71</v>
      </c>
      <c r="G1054" s="3" t="s">
        <v>15</v>
      </c>
      <c r="H1054" s="3" t="str">
        <f>"1"</f>
        <v>1</v>
      </c>
      <c r="I1054" s="4" t="str">
        <f>"16229"</f>
        <v>16229</v>
      </c>
      <c r="J1054" s="2">
        <v>45856</v>
      </c>
      <c r="K1054" s="1" t="s">
        <v>2641</v>
      </c>
    </row>
    <row r="1055" spans="1:11" x14ac:dyDescent="0.35">
      <c r="A1055" s="3" t="s">
        <v>2638</v>
      </c>
      <c r="B1055" s="1" t="s">
        <v>2645</v>
      </c>
      <c r="C1055" s="1" t="s">
        <v>2648</v>
      </c>
      <c r="D1055" s="1" t="str">
        <f>"1385"</f>
        <v>1385</v>
      </c>
      <c r="E1055" s="1" t="str">
        <f>"015936219"</f>
        <v>015936219</v>
      </c>
      <c r="F1055" s="1" t="s">
        <v>67</v>
      </c>
      <c r="G1055" s="3" t="s">
        <v>15</v>
      </c>
      <c r="H1055" s="3" t="str">
        <f>"1"</f>
        <v>1</v>
      </c>
      <c r="I1055" s="4" t="str">
        <f>"77000"</f>
        <v>77000</v>
      </c>
      <c r="J1055" s="2">
        <v>45854</v>
      </c>
      <c r="K1055" s="1" t="s">
        <v>2649</v>
      </c>
    </row>
    <row r="1056" spans="1:11" x14ac:dyDescent="0.35">
      <c r="A1056" s="3" t="s">
        <v>2638</v>
      </c>
      <c r="B1056" s="1" t="s">
        <v>2666</v>
      </c>
      <c r="C1056" s="1" t="s">
        <v>2667</v>
      </c>
      <c r="D1056" s="1" t="str">
        <f>"5855"</f>
        <v>5855</v>
      </c>
      <c r="E1056" s="1" t="str">
        <f>"015345931"</f>
        <v>015345931</v>
      </c>
      <c r="F1056" s="1" t="s">
        <v>703</v>
      </c>
      <c r="G1056" s="3" t="s">
        <v>15</v>
      </c>
      <c r="H1056" s="3" t="str">
        <f>"5"</f>
        <v>5</v>
      </c>
      <c r="I1056" s="4" t="str">
        <f>"976"</f>
        <v>976</v>
      </c>
      <c r="J1056" s="2">
        <v>45849</v>
      </c>
      <c r="K1056" s="1" t="s">
        <v>2668</v>
      </c>
    </row>
    <row r="1057" spans="1:11" x14ac:dyDescent="0.35">
      <c r="A1057" s="3" t="s">
        <v>2638</v>
      </c>
      <c r="B1057" s="1" t="s">
        <v>2645</v>
      </c>
      <c r="C1057" s="1" t="s">
        <v>2650</v>
      </c>
      <c r="D1057" s="1" t="str">
        <f>"5855"</f>
        <v>5855</v>
      </c>
      <c r="E1057" s="1" t="str">
        <f>"015345931"</f>
        <v>015345931</v>
      </c>
      <c r="F1057" s="1" t="s">
        <v>703</v>
      </c>
      <c r="G1057" s="3" t="s">
        <v>15</v>
      </c>
      <c r="H1057" s="3" t="str">
        <f>"8"</f>
        <v>8</v>
      </c>
      <c r="I1057" s="4" t="str">
        <f>"976"</f>
        <v>976</v>
      </c>
      <c r="J1057" s="2">
        <v>45848</v>
      </c>
      <c r="K1057" s="1" t="s">
        <v>2651</v>
      </c>
    </row>
    <row r="1058" spans="1:11" x14ac:dyDescent="0.35">
      <c r="A1058" s="3" t="s">
        <v>2638</v>
      </c>
      <c r="B1058" s="1" t="s">
        <v>2681</v>
      </c>
      <c r="C1058" s="1" t="s">
        <v>2682</v>
      </c>
      <c r="D1058" s="1" t="str">
        <f>"1095"</f>
        <v>1095</v>
      </c>
      <c r="E1058" s="1" t="str">
        <f>"011977902"</f>
        <v>011977902</v>
      </c>
      <c r="F1058" s="1" t="s">
        <v>2683</v>
      </c>
      <c r="G1058" s="3" t="s">
        <v>15</v>
      </c>
      <c r="H1058" s="3" t="str">
        <f>"1"</f>
        <v>1</v>
      </c>
      <c r="I1058" s="4" t="str">
        <f>"1863"</f>
        <v>1863</v>
      </c>
      <c r="J1058" s="2">
        <v>45846</v>
      </c>
      <c r="K1058" s="1" t="s">
        <v>2684</v>
      </c>
    </row>
    <row r="1059" spans="1:11" x14ac:dyDescent="0.35">
      <c r="A1059" s="3" t="s">
        <v>2638</v>
      </c>
      <c r="B1059" s="1" t="s">
        <v>2681</v>
      </c>
      <c r="C1059" s="1" t="s">
        <v>2685</v>
      </c>
      <c r="D1059" s="1" t="str">
        <f>"2540"</f>
        <v>2540</v>
      </c>
      <c r="E1059" s="1" t="str">
        <f>"014800371"</f>
        <v>014800371</v>
      </c>
      <c r="F1059" s="1" t="s">
        <v>2686</v>
      </c>
      <c r="G1059" s="3" t="s">
        <v>15</v>
      </c>
      <c r="H1059" s="3" t="str">
        <f>"1"</f>
        <v>1</v>
      </c>
      <c r="I1059" s="4">
        <v>1442.04</v>
      </c>
      <c r="J1059" s="2">
        <v>45846</v>
      </c>
      <c r="K1059" s="1" t="s">
        <v>2687</v>
      </c>
    </row>
    <row r="1060" spans="1:11" x14ac:dyDescent="0.35">
      <c r="A1060" s="3" t="s">
        <v>2638</v>
      </c>
      <c r="B1060" s="1" t="s">
        <v>2681</v>
      </c>
      <c r="C1060" s="1" t="s">
        <v>2688</v>
      </c>
      <c r="D1060" s="1" t="str">
        <f>"4240"</f>
        <v>4240</v>
      </c>
      <c r="E1060" s="1" t="s">
        <v>2689</v>
      </c>
      <c r="F1060" s="1" t="s">
        <v>2690</v>
      </c>
      <c r="G1060" s="3" t="s">
        <v>15</v>
      </c>
      <c r="H1060" s="3" t="str">
        <f>"5"</f>
        <v>5</v>
      </c>
      <c r="I1060" s="4" t="str">
        <f>"5"</f>
        <v>5</v>
      </c>
      <c r="J1060" s="2">
        <v>45846</v>
      </c>
      <c r="K1060" s="1" t="s">
        <v>2691</v>
      </c>
    </row>
    <row r="1061" spans="1:11" x14ac:dyDescent="0.35">
      <c r="A1061" s="3" t="s">
        <v>2638</v>
      </c>
      <c r="B1061" s="1" t="s">
        <v>2681</v>
      </c>
      <c r="C1061" s="1" t="s">
        <v>2695</v>
      </c>
      <c r="D1061" s="1" t="str">
        <f>"7105"</f>
        <v>7105</v>
      </c>
      <c r="E1061" s="1" t="str">
        <f>"011543865"</f>
        <v>011543865</v>
      </c>
      <c r="F1061" s="1" t="s">
        <v>2696</v>
      </c>
      <c r="G1061" s="3" t="s">
        <v>15</v>
      </c>
      <c r="H1061" s="3" t="str">
        <f>"8"</f>
        <v>8</v>
      </c>
      <c r="I1061" s="4">
        <v>93.84</v>
      </c>
      <c r="J1061" s="2">
        <v>45846</v>
      </c>
      <c r="K1061" s="1" t="s">
        <v>2697</v>
      </c>
    </row>
    <row r="1062" spans="1:11" x14ac:dyDescent="0.35">
      <c r="A1062" s="3" t="s">
        <v>2638</v>
      </c>
      <c r="B1062" s="1" t="s">
        <v>2681</v>
      </c>
      <c r="C1062" s="1" t="s">
        <v>2698</v>
      </c>
      <c r="D1062" s="1" t="str">
        <f>"7210"</f>
        <v>7210</v>
      </c>
      <c r="E1062" s="1" t="str">
        <f>"009356666"</f>
        <v>009356666</v>
      </c>
      <c r="F1062" s="1" t="s">
        <v>1443</v>
      </c>
      <c r="G1062" s="3" t="s">
        <v>15</v>
      </c>
      <c r="H1062" s="3" t="str">
        <f>"20"</f>
        <v>20</v>
      </c>
      <c r="I1062" s="4">
        <v>6.5</v>
      </c>
      <c r="J1062" s="2">
        <v>45846</v>
      </c>
      <c r="K1062" s="1" t="s">
        <v>2699</v>
      </c>
    </row>
    <row r="1063" spans="1:11" x14ac:dyDescent="0.35">
      <c r="A1063" s="3" t="s">
        <v>2638</v>
      </c>
      <c r="B1063" s="1" t="s">
        <v>2681</v>
      </c>
      <c r="C1063" s="1" t="s">
        <v>2700</v>
      </c>
      <c r="D1063" s="1" t="str">
        <f>"7210"</f>
        <v>7210</v>
      </c>
      <c r="E1063" s="1" t="str">
        <f>"002827950"</f>
        <v>002827950</v>
      </c>
      <c r="F1063" s="1" t="s">
        <v>2701</v>
      </c>
      <c r="G1063" s="3" t="s">
        <v>15</v>
      </c>
      <c r="H1063" s="3" t="str">
        <f>"1"</f>
        <v>1</v>
      </c>
      <c r="I1063" s="4">
        <v>43.11</v>
      </c>
      <c r="J1063" s="2">
        <v>45846</v>
      </c>
      <c r="K1063" s="1" t="s">
        <v>2702</v>
      </c>
    </row>
    <row r="1064" spans="1:11" x14ac:dyDescent="0.35">
      <c r="A1064" s="3" t="s">
        <v>2638</v>
      </c>
      <c r="B1064" s="1" t="s">
        <v>2681</v>
      </c>
      <c r="C1064" s="1" t="s">
        <v>2703</v>
      </c>
      <c r="D1064" s="1" t="str">
        <f>"8465"</f>
        <v>8465</v>
      </c>
      <c r="E1064" s="1" t="str">
        <f>"013936515"</f>
        <v>013936515</v>
      </c>
      <c r="F1064" s="1" t="s">
        <v>849</v>
      </c>
      <c r="G1064" s="3" t="s">
        <v>15</v>
      </c>
      <c r="H1064" s="3" t="str">
        <f>"2"</f>
        <v>2</v>
      </c>
      <c r="I1064" s="4">
        <v>56.45</v>
      </c>
      <c r="J1064" s="2">
        <v>45846</v>
      </c>
      <c r="K1064" s="1" t="s">
        <v>2704</v>
      </c>
    </row>
    <row r="1065" spans="1:11" x14ac:dyDescent="0.35">
      <c r="A1065" s="3" t="s">
        <v>2638</v>
      </c>
      <c r="B1065" s="1" t="s">
        <v>2681</v>
      </c>
      <c r="C1065" s="1" t="s">
        <v>2705</v>
      </c>
      <c r="D1065" s="1" t="str">
        <f>"8465"</f>
        <v>8465</v>
      </c>
      <c r="E1065" s="1" t="str">
        <f>"013936515"</f>
        <v>013936515</v>
      </c>
      <c r="F1065" s="1" t="s">
        <v>849</v>
      </c>
      <c r="G1065" s="3" t="s">
        <v>15</v>
      </c>
      <c r="H1065" s="3" t="str">
        <f>"4"</f>
        <v>4</v>
      </c>
      <c r="I1065" s="4">
        <v>56.45</v>
      </c>
      <c r="J1065" s="2">
        <v>45846</v>
      </c>
      <c r="K1065" s="1" t="s">
        <v>2706</v>
      </c>
    </row>
    <row r="1066" spans="1:11" x14ac:dyDescent="0.35">
      <c r="A1066" s="3" t="s">
        <v>2638</v>
      </c>
      <c r="B1066" s="1" t="s">
        <v>2681</v>
      </c>
      <c r="C1066" s="1" t="s">
        <v>2707</v>
      </c>
      <c r="D1066" s="1" t="str">
        <f>"8470"</f>
        <v>8470</v>
      </c>
      <c r="E1066" s="1" t="str">
        <f>"015469356"</f>
        <v>015469356</v>
      </c>
      <c r="F1066" s="1" t="s">
        <v>2708</v>
      </c>
      <c r="G1066" s="3" t="s">
        <v>15</v>
      </c>
      <c r="H1066" s="3" t="str">
        <f>"7"</f>
        <v>7</v>
      </c>
      <c r="I1066" s="4">
        <v>6.03</v>
      </c>
      <c r="J1066" s="2">
        <v>45846</v>
      </c>
      <c r="K1066" s="1" t="s">
        <v>2709</v>
      </c>
    </row>
    <row r="1067" spans="1:11" x14ac:dyDescent="0.35">
      <c r="A1067" s="3" t="s">
        <v>2638</v>
      </c>
      <c r="B1067" s="1" t="s">
        <v>2666</v>
      </c>
      <c r="C1067" s="1" t="s">
        <v>2672</v>
      </c>
      <c r="D1067" s="1" t="str">
        <f>"7025"</f>
        <v>7025</v>
      </c>
      <c r="E1067" s="1" t="str">
        <f>"016331290"</f>
        <v>016331290</v>
      </c>
      <c r="F1067" s="1" t="s">
        <v>2673</v>
      </c>
      <c r="G1067" s="3" t="s">
        <v>15</v>
      </c>
      <c r="H1067" s="3" t="str">
        <f>"2"</f>
        <v>2</v>
      </c>
      <c r="I1067" s="4" t="str">
        <f>"821"</f>
        <v>821</v>
      </c>
      <c r="J1067" s="2">
        <v>45845</v>
      </c>
      <c r="K1067" s="1" t="s">
        <v>2674</v>
      </c>
    </row>
    <row r="1068" spans="1:11" x14ac:dyDescent="0.35">
      <c r="A1068" s="3" t="s">
        <v>2638</v>
      </c>
      <c r="B1068" s="1" t="s">
        <v>2710</v>
      </c>
      <c r="C1068" s="1" t="s">
        <v>2711</v>
      </c>
      <c r="D1068" s="1" t="str">
        <f>"4240"</f>
        <v>4240</v>
      </c>
      <c r="E1068" s="1" t="s">
        <v>1105</v>
      </c>
      <c r="F1068" s="1" t="s">
        <v>1106</v>
      </c>
      <c r="G1068" s="3" t="s">
        <v>15</v>
      </c>
      <c r="H1068" s="3" t="str">
        <f>"12"</f>
        <v>12</v>
      </c>
      <c r="I1068" s="4" t="str">
        <f>"476"</f>
        <v>476</v>
      </c>
      <c r="J1068" s="2">
        <v>45841</v>
      </c>
      <c r="K1068" s="1" t="s">
        <v>2712</v>
      </c>
    </row>
    <row r="1069" spans="1:11" x14ac:dyDescent="0.35">
      <c r="A1069" s="3" t="s">
        <v>2720</v>
      </c>
      <c r="B1069" s="1" t="s">
        <v>2765</v>
      </c>
      <c r="C1069" s="1" t="s">
        <v>2766</v>
      </c>
      <c r="D1069" s="1" t="str">
        <f>"6115"</f>
        <v>6115</v>
      </c>
      <c r="E1069" s="1" t="str">
        <f>"015301458"</f>
        <v>015301458</v>
      </c>
      <c r="F1069" s="1" t="s">
        <v>435</v>
      </c>
      <c r="G1069" s="3" t="s">
        <v>15</v>
      </c>
      <c r="H1069" s="3" t="str">
        <f>"2"</f>
        <v>2</v>
      </c>
      <c r="I1069" s="4" t="str">
        <f>"26334"</f>
        <v>26334</v>
      </c>
      <c r="J1069" s="2">
        <v>45926</v>
      </c>
      <c r="K1069" s="1" t="s">
        <v>2767</v>
      </c>
    </row>
    <row r="1070" spans="1:11" x14ac:dyDescent="0.35">
      <c r="A1070" s="3" t="s">
        <v>2720</v>
      </c>
      <c r="B1070" s="1" t="s">
        <v>2931</v>
      </c>
      <c r="C1070" s="1" t="s">
        <v>2932</v>
      </c>
      <c r="D1070" s="1" t="str">
        <f>"4910"</f>
        <v>4910</v>
      </c>
      <c r="E1070" s="1" t="s">
        <v>343</v>
      </c>
      <c r="F1070" s="1" t="s">
        <v>344</v>
      </c>
      <c r="G1070" s="3" t="s">
        <v>15</v>
      </c>
      <c r="H1070" s="3" t="str">
        <f>"1"</f>
        <v>1</v>
      </c>
      <c r="I1070" s="4" t="str">
        <f>"2795"</f>
        <v>2795</v>
      </c>
      <c r="J1070" s="2">
        <v>45926</v>
      </c>
      <c r="K1070" s="1" t="s">
        <v>2933</v>
      </c>
    </row>
    <row r="1071" spans="1:11" x14ac:dyDescent="0.35">
      <c r="A1071" s="3" t="s">
        <v>2720</v>
      </c>
      <c r="B1071" s="1" t="s">
        <v>2931</v>
      </c>
      <c r="C1071" s="1" t="s">
        <v>2938</v>
      </c>
      <c r="D1071" s="1" t="str">
        <f>"7110"</f>
        <v>7110</v>
      </c>
      <c r="E1071" s="1" t="s">
        <v>2939</v>
      </c>
      <c r="F1071" s="1" t="s">
        <v>2940</v>
      </c>
      <c r="G1071" s="3" t="s">
        <v>15</v>
      </c>
      <c r="H1071" s="3" t="str">
        <f>"4"</f>
        <v>4</v>
      </c>
      <c r="I1071" s="4" t="str">
        <f>"75"</f>
        <v>75</v>
      </c>
      <c r="J1071" s="2">
        <v>45926</v>
      </c>
      <c r="K1071" s="1" t="s">
        <v>2941</v>
      </c>
    </row>
    <row r="1072" spans="1:11" x14ac:dyDescent="0.35">
      <c r="A1072" s="3" t="s">
        <v>2720</v>
      </c>
      <c r="B1072" s="1" t="s">
        <v>2931</v>
      </c>
      <c r="C1072" s="1" t="s">
        <v>2955</v>
      </c>
      <c r="D1072" s="1" t="str">
        <f>"8145"</f>
        <v>8145</v>
      </c>
      <c r="E1072" s="1" t="s">
        <v>1602</v>
      </c>
      <c r="F1072" s="1" t="s">
        <v>1603</v>
      </c>
      <c r="G1072" s="3" t="s">
        <v>15</v>
      </c>
      <c r="H1072" s="3" t="str">
        <f>"30"</f>
        <v>30</v>
      </c>
      <c r="I1072" s="4" t="str">
        <f>"200"</f>
        <v>200</v>
      </c>
      <c r="J1072" s="2">
        <v>45926</v>
      </c>
      <c r="K1072" s="1" t="s">
        <v>2956</v>
      </c>
    </row>
    <row r="1073" spans="1:11" x14ac:dyDescent="0.35">
      <c r="A1073" s="3" t="s">
        <v>2720</v>
      </c>
      <c r="B1073" s="1" t="s">
        <v>2931</v>
      </c>
      <c r="C1073" s="1" t="s">
        <v>2957</v>
      </c>
      <c r="D1073" s="1" t="str">
        <f>"8405"</f>
        <v>8405</v>
      </c>
      <c r="E1073" s="1" t="s">
        <v>2813</v>
      </c>
      <c r="F1073" s="1" t="s">
        <v>2814</v>
      </c>
      <c r="G1073" s="3" t="s">
        <v>15</v>
      </c>
      <c r="H1073" s="3" t="str">
        <f>"1"</f>
        <v>1</v>
      </c>
      <c r="I1073" s="4" t="str">
        <f>"50"</f>
        <v>50</v>
      </c>
      <c r="J1073" s="2">
        <v>45926</v>
      </c>
      <c r="K1073" s="1" t="s">
        <v>2958</v>
      </c>
    </row>
    <row r="1074" spans="1:11" x14ac:dyDescent="0.35">
      <c r="A1074" s="3" t="s">
        <v>2720</v>
      </c>
      <c r="B1074" s="1" t="s">
        <v>2931</v>
      </c>
      <c r="C1074" s="1" t="s">
        <v>2965</v>
      </c>
      <c r="D1074" s="1" t="str">
        <f>"8415"</f>
        <v>8415</v>
      </c>
      <c r="E1074" s="1" t="str">
        <f>"015386768"</f>
        <v>015386768</v>
      </c>
      <c r="F1074" s="1" t="s">
        <v>839</v>
      </c>
      <c r="G1074" s="3" t="s">
        <v>15</v>
      </c>
      <c r="H1074" s="3" t="str">
        <f>"20"</f>
        <v>20</v>
      </c>
      <c r="I1074" s="4">
        <v>66.42</v>
      </c>
      <c r="J1074" s="2">
        <v>45926</v>
      </c>
      <c r="K1074" s="1" t="s">
        <v>2966</v>
      </c>
    </row>
    <row r="1075" spans="1:11" x14ac:dyDescent="0.35">
      <c r="A1075" s="3" t="s">
        <v>2720</v>
      </c>
      <c r="B1075" s="1" t="s">
        <v>2931</v>
      </c>
      <c r="C1075" s="1" t="s">
        <v>2967</v>
      </c>
      <c r="D1075" s="1" t="str">
        <f>"8415"</f>
        <v>8415</v>
      </c>
      <c r="E1075" s="1" t="s">
        <v>1359</v>
      </c>
      <c r="F1075" s="1" t="s">
        <v>1360</v>
      </c>
      <c r="G1075" s="3" t="s">
        <v>15</v>
      </c>
      <c r="H1075" s="3" t="str">
        <f>"8"</f>
        <v>8</v>
      </c>
      <c r="I1075" s="4">
        <v>51.4</v>
      </c>
      <c r="J1075" s="2">
        <v>45926</v>
      </c>
      <c r="K1075" s="1" t="s">
        <v>2968</v>
      </c>
    </row>
    <row r="1076" spans="1:11" x14ac:dyDescent="0.35">
      <c r="A1076" s="3" t="s">
        <v>2720</v>
      </c>
      <c r="B1076" s="1" t="s">
        <v>2775</v>
      </c>
      <c r="C1076" s="1" t="s">
        <v>2776</v>
      </c>
      <c r="D1076" s="1" t="str">
        <f>"2320"</f>
        <v>2320</v>
      </c>
      <c r="E1076" s="1" t="str">
        <f>"014473892"</f>
        <v>014473892</v>
      </c>
      <c r="F1076" s="1" t="s">
        <v>2777</v>
      </c>
      <c r="G1076" s="3" t="s">
        <v>15</v>
      </c>
      <c r="H1076" s="3" t="str">
        <f>"1"</f>
        <v>1</v>
      </c>
      <c r="I1076" s="4" t="str">
        <f>"331680"</f>
        <v>331680</v>
      </c>
      <c r="J1076" s="2">
        <v>45925</v>
      </c>
      <c r="K1076" s="1" t="s">
        <v>2778</v>
      </c>
    </row>
    <row r="1077" spans="1:11" x14ac:dyDescent="0.35">
      <c r="A1077" s="3" t="s">
        <v>2720</v>
      </c>
      <c r="B1077" s="1" t="s">
        <v>2842</v>
      </c>
      <c r="C1077" s="1" t="s">
        <v>2843</v>
      </c>
      <c r="D1077" s="1" t="str">
        <f>"2330"</f>
        <v>2330</v>
      </c>
      <c r="E1077" s="1" t="str">
        <f>"011087367"</f>
        <v>011087367</v>
      </c>
      <c r="F1077" s="1" t="s">
        <v>1698</v>
      </c>
      <c r="G1077" s="3" t="s">
        <v>15</v>
      </c>
      <c r="H1077" s="3" t="str">
        <f>"1"</f>
        <v>1</v>
      </c>
      <c r="I1077" s="4" t="str">
        <f>"22000"</f>
        <v>22000</v>
      </c>
      <c r="J1077" s="2">
        <v>45925</v>
      </c>
      <c r="K1077" s="1" t="s">
        <v>2844</v>
      </c>
    </row>
    <row r="1078" spans="1:11" x14ac:dyDescent="0.35">
      <c r="A1078" s="3" t="s">
        <v>2720</v>
      </c>
      <c r="B1078" s="1" t="s">
        <v>2842</v>
      </c>
      <c r="C1078" s="1" t="s">
        <v>2845</v>
      </c>
      <c r="D1078" s="1" t="str">
        <f>"2340"</f>
        <v>2340</v>
      </c>
      <c r="E1078" s="1" t="s">
        <v>278</v>
      </c>
      <c r="F1078" s="1" t="s">
        <v>279</v>
      </c>
      <c r="G1078" s="3" t="s">
        <v>15</v>
      </c>
      <c r="H1078" s="3" t="str">
        <f>"2"</f>
        <v>2</v>
      </c>
      <c r="I1078" s="4" t="str">
        <f>"22932"</f>
        <v>22932</v>
      </c>
      <c r="J1078" s="2">
        <v>45925</v>
      </c>
      <c r="K1078" s="1" t="s">
        <v>2846</v>
      </c>
    </row>
    <row r="1079" spans="1:11" x14ac:dyDescent="0.35">
      <c r="A1079" s="3" t="s">
        <v>2720</v>
      </c>
      <c r="B1079" s="1" t="s">
        <v>2842</v>
      </c>
      <c r="C1079" s="1" t="s">
        <v>2847</v>
      </c>
      <c r="D1079" s="1" t="str">
        <f>"6115"</f>
        <v>6115</v>
      </c>
      <c r="E1079" s="1" t="str">
        <f>"012853012"</f>
        <v>012853012</v>
      </c>
      <c r="F1079" s="1" t="s">
        <v>435</v>
      </c>
      <c r="G1079" s="3" t="s">
        <v>15</v>
      </c>
      <c r="H1079" s="3" t="str">
        <f>"4"</f>
        <v>4</v>
      </c>
      <c r="I1079" s="4" t="str">
        <f>"44258"</f>
        <v>44258</v>
      </c>
      <c r="J1079" s="2">
        <v>45925</v>
      </c>
      <c r="K1079" s="1" t="s">
        <v>2848</v>
      </c>
    </row>
    <row r="1080" spans="1:11" x14ac:dyDescent="0.35">
      <c r="A1080" s="3" t="s">
        <v>2720</v>
      </c>
      <c r="B1080" s="1" t="s">
        <v>2842</v>
      </c>
      <c r="C1080" s="1" t="s">
        <v>2849</v>
      </c>
      <c r="D1080" s="1" t="str">
        <f>"6115"</f>
        <v>6115</v>
      </c>
      <c r="E1080" s="1" t="str">
        <f>"015472420"</f>
        <v>015472420</v>
      </c>
      <c r="F1080" s="1" t="s">
        <v>2850</v>
      </c>
      <c r="G1080" s="3" t="s">
        <v>15</v>
      </c>
      <c r="H1080" s="3" t="str">
        <f>"1"</f>
        <v>1</v>
      </c>
      <c r="I1080" s="4">
        <v>2822.64</v>
      </c>
      <c r="J1080" s="2">
        <v>45925</v>
      </c>
      <c r="K1080" s="1" t="s">
        <v>2848</v>
      </c>
    </row>
    <row r="1081" spans="1:11" x14ac:dyDescent="0.35">
      <c r="A1081" s="3" t="s">
        <v>2720</v>
      </c>
      <c r="B1081" s="1" t="s">
        <v>2842</v>
      </c>
      <c r="C1081" s="1" t="s">
        <v>2851</v>
      </c>
      <c r="D1081" s="1" t="str">
        <f>"6115"</f>
        <v>6115</v>
      </c>
      <c r="E1081" s="1" t="s">
        <v>174</v>
      </c>
      <c r="F1081" s="1" t="s">
        <v>175</v>
      </c>
      <c r="G1081" s="3" t="s">
        <v>15</v>
      </c>
      <c r="H1081" s="3" t="str">
        <f>"1"</f>
        <v>1</v>
      </c>
      <c r="I1081" s="4">
        <v>11353.15</v>
      </c>
      <c r="J1081" s="2">
        <v>45925</v>
      </c>
      <c r="K1081" s="1" t="s">
        <v>2848</v>
      </c>
    </row>
    <row r="1082" spans="1:11" x14ac:dyDescent="0.35">
      <c r="A1082" s="3" t="s">
        <v>2720</v>
      </c>
      <c r="B1082" s="1" t="s">
        <v>2842</v>
      </c>
      <c r="C1082" s="1" t="s">
        <v>2852</v>
      </c>
      <c r="D1082" s="1" t="str">
        <f>"6115"</f>
        <v>6115</v>
      </c>
      <c r="E1082" s="1" t="s">
        <v>174</v>
      </c>
      <c r="F1082" s="1" t="s">
        <v>175</v>
      </c>
      <c r="G1082" s="3" t="s">
        <v>15</v>
      </c>
      <c r="H1082" s="3" t="str">
        <f>"1"</f>
        <v>1</v>
      </c>
      <c r="I1082" s="4" t="str">
        <f>"1399"</f>
        <v>1399</v>
      </c>
      <c r="J1082" s="2">
        <v>45925</v>
      </c>
      <c r="K1082" s="1" t="s">
        <v>2853</v>
      </c>
    </row>
    <row r="1083" spans="1:11" x14ac:dyDescent="0.35">
      <c r="A1083" s="3" t="s">
        <v>2720</v>
      </c>
      <c r="B1083" s="1" t="s">
        <v>2842</v>
      </c>
      <c r="C1083" s="1" t="s">
        <v>2854</v>
      </c>
      <c r="D1083" s="1" t="str">
        <f>"6115"</f>
        <v>6115</v>
      </c>
      <c r="E1083" s="1" t="str">
        <f>"012755061"</f>
        <v>012755061</v>
      </c>
      <c r="F1083" s="1" t="s">
        <v>435</v>
      </c>
      <c r="G1083" s="3" t="s">
        <v>15</v>
      </c>
      <c r="H1083" s="3" t="str">
        <f>"1"</f>
        <v>1</v>
      </c>
      <c r="I1083" s="4" t="str">
        <f>"10700"</f>
        <v>10700</v>
      </c>
      <c r="J1083" s="2">
        <v>45925</v>
      </c>
      <c r="K1083" s="1" t="s">
        <v>2853</v>
      </c>
    </row>
    <row r="1084" spans="1:11" x14ac:dyDescent="0.35">
      <c r="A1084" s="3" t="s">
        <v>2720</v>
      </c>
      <c r="B1084" s="1" t="s">
        <v>2842</v>
      </c>
      <c r="C1084" s="1" t="s">
        <v>2855</v>
      </c>
      <c r="D1084" s="1" t="str">
        <f>"6115"</f>
        <v>6115</v>
      </c>
      <c r="E1084" s="1" t="s">
        <v>174</v>
      </c>
      <c r="F1084" s="1" t="s">
        <v>175</v>
      </c>
      <c r="G1084" s="3" t="s">
        <v>15</v>
      </c>
      <c r="H1084" s="3" t="str">
        <f>"1"</f>
        <v>1</v>
      </c>
      <c r="I1084" s="4" t="str">
        <f>"1399"</f>
        <v>1399</v>
      </c>
      <c r="J1084" s="2">
        <v>45925</v>
      </c>
      <c r="K1084" s="1" t="s">
        <v>2853</v>
      </c>
    </row>
    <row r="1085" spans="1:11" x14ac:dyDescent="0.35">
      <c r="A1085" s="3" t="s">
        <v>2720</v>
      </c>
      <c r="B1085" s="1" t="s">
        <v>2842</v>
      </c>
      <c r="C1085" s="1" t="s">
        <v>2856</v>
      </c>
      <c r="D1085" s="1" t="str">
        <f>"8145"</f>
        <v>8145</v>
      </c>
      <c r="E1085" s="1" t="s">
        <v>1602</v>
      </c>
      <c r="F1085" s="1" t="s">
        <v>1603</v>
      </c>
      <c r="G1085" s="3" t="s">
        <v>15</v>
      </c>
      <c r="H1085" s="3" t="str">
        <f>"15"</f>
        <v>15</v>
      </c>
      <c r="I1085" s="4" t="str">
        <f>"200"</f>
        <v>200</v>
      </c>
      <c r="J1085" s="2">
        <v>45925</v>
      </c>
      <c r="K1085" s="1" t="s">
        <v>2857</v>
      </c>
    </row>
    <row r="1086" spans="1:11" x14ac:dyDescent="0.35">
      <c r="A1086" s="3" t="s">
        <v>2720</v>
      </c>
      <c r="B1086" s="1" t="s">
        <v>2842</v>
      </c>
      <c r="C1086" s="1" t="s">
        <v>2862</v>
      </c>
      <c r="D1086" s="1" t="str">
        <f>"8405"</f>
        <v>8405</v>
      </c>
      <c r="E1086" s="1" t="str">
        <f>"015472555"</f>
        <v>015472555</v>
      </c>
      <c r="F1086" s="1" t="s">
        <v>2863</v>
      </c>
      <c r="G1086" s="3" t="s">
        <v>15</v>
      </c>
      <c r="H1086" s="3" t="str">
        <f>"15"</f>
        <v>15</v>
      </c>
      <c r="I1086" s="4">
        <v>65.52</v>
      </c>
      <c r="J1086" s="2">
        <v>45925</v>
      </c>
      <c r="K1086" s="1" t="s">
        <v>2864</v>
      </c>
    </row>
    <row r="1087" spans="1:11" x14ac:dyDescent="0.35">
      <c r="A1087" s="3" t="s">
        <v>2720</v>
      </c>
      <c r="B1087" s="1" t="s">
        <v>2842</v>
      </c>
      <c r="C1087" s="1" t="s">
        <v>2865</v>
      </c>
      <c r="D1087" s="1" t="str">
        <f>"8465"</f>
        <v>8465</v>
      </c>
      <c r="E1087" s="1" t="str">
        <f>"016733364"</f>
        <v>016733364</v>
      </c>
      <c r="F1087" s="1" t="s">
        <v>857</v>
      </c>
      <c r="G1087" s="3" t="s">
        <v>58</v>
      </c>
      <c r="H1087" s="3" t="str">
        <f>"2"</f>
        <v>2</v>
      </c>
      <c r="I1087" s="4">
        <v>389.21</v>
      </c>
      <c r="J1087" s="2">
        <v>45925</v>
      </c>
      <c r="K1087" s="1" t="s">
        <v>2866</v>
      </c>
    </row>
    <row r="1088" spans="1:11" x14ac:dyDescent="0.35">
      <c r="A1088" s="3" t="s">
        <v>2720</v>
      </c>
      <c r="B1088" s="1" t="s">
        <v>2842</v>
      </c>
      <c r="C1088" s="1" t="s">
        <v>2867</v>
      </c>
      <c r="D1088" s="1" t="str">
        <f>"8465"</f>
        <v>8465</v>
      </c>
      <c r="E1088" s="1" t="str">
        <f>"014456274"</f>
        <v>014456274</v>
      </c>
      <c r="F1088" s="1" t="s">
        <v>1434</v>
      </c>
      <c r="G1088" s="3" t="s">
        <v>15</v>
      </c>
      <c r="H1088" s="3" t="str">
        <f>"4"</f>
        <v>4</v>
      </c>
      <c r="I1088" s="4">
        <v>265.76</v>
      </c>
      <c r="J1088" s="2">
        <v>45925</v>
      </c>
      <c r="K1088" s="1" t="s">
        <v>2868</v>
      </c>
    </row>
    <row r="1089" spans="1:11" x14ac:dyDescent="0.35">
      <c r="A1089" s="3" t="s">
        <v>2720</v>
      </c>
      <c r="B1089" s="1" t="s">
        <v>2842</v>
      </c>
      <c r="C1089" s="1" t="s">
        <v>2869</v>
      </c>
      <c r="D1089" s="1" t="str">
        <f>"8465"</f>
        <v>8465</v>
      </c>
      <c r="E1089" s="1" t="str">
        <f>"015255531"</f>
        <v>015255531</v>
      </c>
      <c r="F1089" s="1" t="s">
        <v>2870</v>
      </c>
      <c r="G1089" s="3" t="s">
        <v>15</v>
      </c>
      <c r="H1089" s="3" t="str">
        <f>"18"</f>
        <v>18</v>
      </c>
      <c r="I1089" s="4">
        <v>68.7</v>
      </c>
      <c r="J1089" s="2">
        <v>45925</v>
      </c>
      <c r="K1089" s="1" t="s">
        <v>2871</v>
      </c>
    </row>
    <row r="1090" spans="1:11" x14ac:dyDescent="0.35">
      <c r="A1090" s="3" t="s">
        <v>2720</v>
      </c>
      <c r="B1090" s="1" t="s">
        <v>2842</v>
      </c>
      <c r="C1090" s="1" t="s">
        <v>2872</v>
      </c>
      <c r="D1090" s="1" t="str">
        <f>"8465"</f>
        <v>8465</v>
      </c>
      <c r="E1090" s="1" t="str">
        <f>"016046541"</f>
        <v>016046541</v>
      </c>
      <c r="F1090" s="1" t="s">
        <v>975</v>
      </c>
      <c r="G1090" s="3" t="s">
        <v>15</v>
      </c>
      <c r="H1090" s="3" t="str">
        <f>"18"</f>
        <v>18</v>
      </c>
      <c r="I1090" s="4">
        <v>41.87</v>
      </c>
      <c r="J1090" s="2">
        <v>45925</v>
      </c>
      <c r="K1090" s="1" t="s">
        <v>2873</v>
      </c>
    </row>
    <row r="1091" spans="1:11" x14ac:dyDescent="0.35">
      <c r="A1091" s="3" t="s">
        <v>2720</v>
      </c>
      <c r="B1091" s="1" t="s">
        <v>2842</v>
      </c>
      <c r="C1091" s="1" t="s">
        <v>2874</v>
      </c>
      <c r="D1091" s="1" t="str">
        <f>"8465"</f>
        <v>8465</v>
      </c>
      <c r="E1091" s="1" t="str">
        <f>"015245250"</f>
        <v>015245250</v>
      </c>
      <c r="F1091" s="1" t="s">
        <v>921</v>
      </c>
      <c r="G1091" s="3" t="s">
        <v>15</v>
      </c>
      <c r="H1091" s="3" t="str">
        <f>"18"</f>
        <v>18</v>
      </c>
      <c r="I1091" s="4">
        <v>78.14</v>
      </c>
      <c r="J1091" s="2">
        <v>45925</v>
      </c>
      <c r="K1091" s="1" t="s">
        <v>2875</v>
      </c>
    </row>
    <row r="1092" spans="1:11" x14ac:dyDescent="0.35">
      <c r="A1092" s="3" t="s">
        <v>2720</v>
      </c>
      <c r="B1092" s="1" t="s">
        <v>2897</v>
      </c>
      <c r="C1092" s="1" t="s">
        <v>2929</v>
      </c>
      <c r="D1092" s="1" t="str">
        <f>"8145"</f>
        <v>8145</v>
      </c>
      <c r="E1092" s="1" t="s">
        <v>1602</v>
      </c>
      <c r="F1092" s="1" t="s">
        <v>1603</v>
      </c>
      <c r="G1092" s="3" t="s">
        <v>15</v>
      </c>
      <c r="H1092" s="3" t="str">
        <f>"16"</f>
        <v>16</v>
      </c>
      <c r="I1092" s="4" t="str">
        <f>"200"</f>
        <v>200</v>
      </c>
      <c r="J1092" s="2">
        <v>45925</v>
      </c>
      <c r="K1092" s="1" t="s">
        <v>2930</v>
      </c>
    </row>
    <row r="1093" spans="1:11" x14ac:dyDescent="0.35">
      <c r="A1093" s="3" t="s">
        <v>2720</v>
      </c>
      <c r="B1093" s="1" t="s">
        <v>2828</v>
      </c>
      <c r="C1093" s="1" t="s">
        <v>2838</v>
      </c>
      <c r="D1093" s="1" t="str">
        <f>"8145"</f>
        <v>8145</v>
      </c>
      <c r="E1093" s="1" t="s">
        <v>1602</v>
      </c>
      <c r="F1093" s="1" t="s">
        <v>1603</v>
      </c>
      <c r="G1093" s="3" t="s">
        <v>15</v>
      </c>
      <c r="H1093" s="3" t="str">
        <f>"8"</f>
        <v>8</v>
      </c>
      <c r="I1093" s="4" t="str">
        <f>"200"</f>
        <v>200</v>
      </c>
      <c r="J1093" s="2">
        <v>45923</v>
      </c>
      <c r="K1093" s="1" t="s">
        <v>2839</v>
      </c>
    </row>
    <row r="1094" spans="1:11" x14ac:dyDescent="0.35">
      <c r="A1094" s="3" t="s">
        <v>2720</v>
      </c>
      <c r="B1094" s="1" t="s">
        <v>2828</v>
      </c>
      <c r="C1094" s="1" t="s">
        <v>2840</v>
      </c>
      <c r="D1094" s="1" t="str">
        <f>"8465"</f>
        <v>8465</v>
      </c>
      <c r="E1094" s="1" t="str">
        <f>"016046235"</f>
        <v>016046235</v>
      </c>
      <c r="F1094" s="1" t="s">
        <v>2210</v>
      </c>
      <c r="G1094" s="3" t="s">
        <v>19</v>
      </c>
      <c r="H1094" s="3" t="str">
        <f>"1"</f>
        <v>1</v>
      </c>
      <c r="I1094" s="4">
        <v>4965.7299999999996</v>
      </c>
      <c r="J1094" s="2">
        <v>45923</v>
      </c>
      <c r="K1094" s="1" t="s">
        <v>2841</v>
      </c>
    </row>
    <row r="1095" spans="1:11" x14ac:dyDescent="0.35">
      <c r="A1095" s="3" t="s">
        <v>2720</v>
      </c>
      <c r="B1095" s="1" t="s">
        <v>2765</v>
      </c>
      <c r="C1095" s="1" t="s">
        <v>2768</v>
      </c>
      <c r="D1095" s="1" t="str">
        <f>"8145"</f>
        <v>8145</v>
      </c>
      <c r="E1095" s="1" t="s">
        <v>1602</v>
      </c>
      <c r="F1095" s="1" t="s">
        <v>1603</v>
      </c>
      <c r="G1095" s="3" t="s">
        <v>15</v>
      </c>
      <c r="H1095" s="3" t="str">
        <f>"5"</f>
        <v>5</v>
      </c>
      <c r="I1095" s="4" t="str">
        <f>"200"</f>
        <v>200</v>
      </c>
      <c r="J1095" s="2">
        <v>45919</v>
      </c>
      <c r="K1095" s="1" t="s">
        <v>2769</v>
      </c>
    </row>
    <row r="1096" spans="1:11" x14ac:dyDescent="0.35">
      <c r="A1096" s="3" t="s">
        <v>2720</v>
      </c>
      <c r="B1096" s="1" t="s">
        <v>2876</v>
      </c>
      <c r="C1096" s="1" t="s">
        <v>2883</v>
      </c>
      <c r="D1096" s="1" t="str">
        <f>"3830"</f>
        <v>3830</v>
      </c>
      <c r="E1096" s="1" t="s">
        <v>2288</v>
      </c>
      <c r="F1096" s="1" t="s">
        <v>2289</v>
      </c>
      <c r="G1096" s="3" t="s">
        <v>15</v>
      </c>
      <c r="H1096" s="3" t="str">
        <f>"1"</f>
        <v>1</v>
      </c>
      <c r="I1096" s="4" t="str">
        <f>"1054"</f>
        <v>1054</v>
      </c>
      <c r="J1096" s="2">
        <v>45919</v>
      </c>
      <c r="K1096" s="1" t="s">
        <v>2884</v>
      </c>
    </row>
    <row r="1097" spans="1:11" x14ac:dyDescent="0.35">
      <c r="A1097" s="3" t="s">
        <v>2720</v>
      </c>
      <c r="B1097" s="1" t="s">
        <v>2876</v>
      </c>
      <c r="C1097" s="1" t="s">
        <v>2887</v>
      </c>
      <c r="D1097" s="1" t="str">
        <f>"4310"</f>
        <v>4310</v>
      </c>
      <c r="E1097" s="1" t="s">
        <v>124</v>
      </c>
      <c r="F1097" s="1" t="s">
        <v>125</v>
      </c>
      <c r="G1097" s="3" t="s">
        <v>15</v>
      </c>
      <c r="H1097" s="3" t="str">
        <f>"1"</f>
        <v>1</v>
      </c>
      <c r="I1097" s="4" t="str">
        <f>"100"</f>
        <v>100</v>
      </c>
      <c r="J1097" s="2">
        <v>45919</v>
      </c>
      <c r="K1097" s="1" t="s">
        <v>2888</v>
      </c>
    </row>
    <row r="1098" spans="1:11" x14ac:dyDescent="0.35">
      <c r="A1098" s="3" t="s">
        <v>2720</v>
      </c>
      <c r="B1098" s="1" t="s">
        <v>2876</v>
      </c>
      <c r="C1098" s="1" t="s">
        <v>2889</v>
      </c>
      <c r="D1098" s="1" t="str">
        <f>"5836"</f>
        <v>5836</v>
      </c>
      <c r="E1098" s="1" t="s">
        <v>2890</v>
      </c>
      <c r="F1098" s="1" t="s">
        <v>2891</v>
      </c>
      <c r="G1098" s="3" t="s">
        <v>15</v>
      </c>
      <c r="H1098" s="3" t="str">
        <f>"1"</f>
        <v>1</v>
      </c>
      <c r="I1098" s="4" t="str">
        <f>"5000"</f>
        <v>5000</v>
      </c>
      <c r="J1098" s="2">
        <v>45919</v>
      </c>
      <c r="K1098" s="1" t="s">
        <v>2892</v>
      </c>
    </row>
    <row r="1099" spans="1:11" x14ac:dyDescent="0.35">
      <c r="A1099" s="3" t="s">
        <v>2720</v>
      </c>
      <c r="B1099" s="1" t="s">
        <v>2876</v>
      </c>
      <c r="C1099" s="1" t="s">
        <v>2893</v>
      </c>
      <c r="D1099" s="1" t="str">
        <f>"7105"</f>
        <v>7105</v>
      </c>
      <c r="E1099" s="1" t="s">
        <v>2894</v>
      </c>
      <c r="F1099" s="1" t="s">
        <v>2895</v>
      </c>
      <c r="G1099" s="3" t="s">
        <v>15</v>
      </c>
      <c r="H1099" s="3" t="str">
        <f>"2"</f>
        <v>2</v>
      </c>
      <c r="I1099" s="4" t="str">
        <f>"75"</f>
        <v>75</v>
      </c>
      <c r="J1099" s="2">
        <v>45919</v>
      </c>
      <c r="K1099" s="1" t="s">
        <v>2896</v>
      </c>
    </row>
    <row r="1100" spans="1:11" x14ac:dyDescent="0.35">
      <c r="A1100" s="3" t="s">
        <v>2720</v>
      </c>
      <c r="B1100" s="1" t="s">
        <v>2721</v>
      </c>
      <c r="C1100" s="1" t="s">
        <v>2722</v>
      </c>
      <c r="D1100" s="1" t="str">
        <f>"3920"</f>
        <v>3920</v>
      </c>
      <c r="E1100" s="1" t="s">
        <v>2723</v>
      </c>
      <c r="F1100" s="1" t="s">
        <v>2724</v>
      </c>
      <c r="G1100" s="3" t="s">
        <v>15</v>
      </c>
      <c r="H1100" s="3" t="str">
        <f>"1"</f>
        <v>1</v>
      </c>
      <c r="I1100" s="4" t="str">
        <f>"10000"</f>
        <v>10000</v>
      </c>
      <c r="J1100" s="2">
        <v>45916</v>
      </c>
      <c r="K1100" s="1" t="s">
        <v>2725</v>
      </c>
    </row>
    <row r="1101" spans="1:11" x14ac:dyDescent="0.35">
      <c r="A1101" s="3" t="s">
        <v>2720</v>
      </c>
      <c r="B1101" s="1" t="s">
        <v>2721</v>
      </c>
      <c r="C1101" s="1" t="s">
        <v>2730</v>
      </c>
      <c r="D1101" s="1" t="str">
        <f>"8145"</f>
        <v>8145</v>
      </c>
      <c r="E1101" s="1" t="s">
        <v>1602</v>
      </c>
      <c r="F1101" s="1" t="s">
        <v>1603</v>
      </c>
      <c r="G1101" s="3" t="s">
        <v>15</v>
      </c>
      <c r="H1101" s="3" t="str">
        <f>"30"</f>
        <v>30</v>
      </c>
      <c r="I1101" s="4" t="str">
        <f>"200"</f>
        <v>200</v>
      </c>
      <c r="J1101" s="2">
        <v>45916</v>
      </c>
      <c r="K1101" s="1" t="s">
        <v>2731</v>
      </c>
    </row>
    <row r="1102" spans="1:11" x14ac:dyDescent="0.35">
      <c r="A1102" s="3" t="s">
        <v>2720</v>
      </c>
      <c r="B1102" s="1" t="s">
        <v>2732</v>
      </c>
      <c r="C1102" s="1" t="s">
        <v>2738</v>
      </c>
      <c r="D1102" s="1" t="str">
        <f>"7830"</f>
        <v>7830</v>
      </c>
      <c r="E1102" s="1" t="s">
        <v>1366</v>
      </c>
      <c r="F1102" s="1" t="s">
        <v>1367</v>
      </c>
      <c r="G1102" s="3" t="s">
        <v>15</v>
      </c>
      <c r="H1102" s="3" t="str">
        <f>"1"</f>
        <v>1</v>
      </c>
      <c r="I1102" s="4" t="str">
        <f>"200"</f>
        <v>200</v>
      </c>
      <c r="J1102" s="2">
        <v>45915</v>
      </c>
      <c r="K1102" s="1" t="s">
        <v>2739</v>
      </c>
    </row>
    <row r="1103" spans="1:11" x14ac:dyDescent="0.35">
      <c r="A1103" s="3" t="s">
        <v>2720</v>
      </c>
      <c r="B1103" s="1" t="s">
        <v>2897</v>
      </c>
      <c r="C1103" s="1" t="s">
        <v>2902</v>
      </c>
      <c r="D1103" s="1" t="str">
        <f>"1550"</f>
        <v>1550</v>
      </c>
      <c r="E1103" s="1" t="str">
        <f>"016215533"</f>
        <v>016215533</v>
      </c>
      <c r="F1103" s="1" t="s">
        <v>2334</v>
      </c>
      <c r="G1103" s="3" t="s">
        <v>15</v>
      </c>
      <c r="H1103" s="3" t="str">
        <f>"1"</f>
        <v>1</v>
      </c>
      <c r="I1103" s="4" t="str">
        <f>"168000"</f>
        <v>168000</v>
      </c>
      <c r="J1103" s="2">
        <v>45915</v>
      </c>
      <c r="K1103" s="1" t="s">
        <v>2901</v>
      </c>
    </row>
    <row r="1104" spans="1:11" x14ac:dyDescent="0.35">
      <c r="A1104" s="3" t="s">
        <v>2720</v>
      </c>
      <c r="B1104" s="1" t="s">
        <v>2897</v>
      </c>
      <c r="C1104" s="1" t="s">
        <v>2903</v>
      </c>
      <c r="D1104" s="1" t="str">
        <f>"1550"</f>
        <v>1550</v>
      </c>
      <c r="E1104" s="1" t="str">
        <f>"016215533"</f>
        <v>016215533</v>
      </c>
      <c r="F1104" s="1" t="s">
        <v>2334</v>
      </c>
      <c r="G1104" s="3" t="s">
        <v>15</v>
      </c>
      <c r="H1104" s="3" t="str">
        <f>"1"</f>
        <v>1</v>
      </c>
      <c r="I1104" s="4" t="str">
        <f>"168000"</f>
        <v>168000</v>
      </c>
      <c r="J1104" s="2">
        <v>45915</v>
      </c>
      <c r="K1104" s="1" t="s">
        <v>2901</v>
      </c>
    </row>
    <row r="1105" spans="1:11" x14ac:dyDescent="0.35">
      <c r="A1105" s="3" t="s">
        <v>2720</v>
      </c>
      <c r="B1105" s="1" t="s">
        <v>2897</v>
      </c>
      <c r="C1105" s="1" t="s">
        <v>2904</v>
      </c>
      <c r="D1105" s="1" t="str">
        <f>"1550"</f>
        <v>1550</v>
      </c>
      <c r="E1105" s="1" t="str">
        <f>"016215533"</f>
        <v>016215533</v>
      </c>
      <c r="F1105" s="1" t="s">
        <v>2334</v>
      </c>
      <c r="G1105" s="3" t="s">
        <v>15</v>
      </c>
      <c r="H1105" s="3" t="str">
        <f>"1"</f>
        <v>1</v>
      </c>
      <c r="I1105" s="4" t="str">
        <f>"168000"</f>
        <v>168000</v>
      </c>
      <c r="J1105" s="2">
        <v>45915</v>
      </c>
      <c r="K1105" s="1" t="s">
        <v>2901</v>
      </c>
    </row>
    <row r="1106" spans="1:11" x14ac:dyDescent="0.35">
      <c r="A1106" s="3" t="s">
        <v>2720</v>
      </c>
      <c r="B1106" s="1" t="s">
        <v>2897</v>
      </c>
      <c r="C1106" s="1" t="s">
        <v>2905</v>
      </c>
      <c r="D1106" s="1" t="str">
        <f>"1550"</f>
        <v>1550</v>
      </c>
      <c r="E1106" s="1" t="str">
        <f>"016215533"</f>
        <v>016215533</v>
      </c>
      <c r="F1106" s="1" t="s">
        <v>2334</v>
      </c>
      <c r="G1106" s="3" t="s">
        <v>15</v>
      </c>
      <c r="H1106" s="3" t="str">
        <f>"1"</f>
        <v>1</v>
      </c>
      <c r="I1106" s="4" t="str">
        <f>"168000"</f>
        <v>168000</v>
      </c>
      <c r="J1106" s="2">
        <v>45915</v>
      </c>
      <c r="K1106" s="1" t="s">
        <v>2901</v>
      </c>
    </row>
    <row r="1107" spans="1:11" x14ac:dyDescent="0.35">
      <c r="A1107" s="3" t="s">
        <v>2720</v>
      </c>
      <c r="B1107" s="1" t="s">
        <v>2931</v>
      </c>
      <c r="C1107" s="1" t="s">
        <v>2942</v>
      </c>
      <c r="D1107" s="1" t="str">
        <f>"7310"</f>
        <v>7310</v>
      </c>
      <c r="E1107" s="1" t="s">
        <v>2943</v>
      </c>
      <c r="F1107" s="1" t="s">
        <v>2944</v>
      </c>
      <c r="G1107" s="3" t="s">
        <v>15</v>
      </c>
      <c r="H1107" s="3" t="str">
        <f>"1"</f>
        <v>1</v>
      </c>
      <c r="I1107" s="4" t="str">
        <f>"500"</f>
        <v>500</v>
      </c>
      <c r="J1107" s="2">
        <v>45905</v>
      </c>
      <c r="K1107" s="1" t="s">
        <v>2945</v>
      </c>
    </row>
    <row r="1108" spans="1:11" x14ac:dyDescent="0.35">
      <c r="A1108" s="3" t="s">
        <v>2720</v>
      </c>
      <c r="B1108" s="1" t="s">
        <v>2931</v>
      </c>
      <c r="C1108" s="1" t="s">
        <v>2949</v>
      </c>
      <c r="D1108" s="1" t="str">
        <f>"7830"</f>
        <v>7830</v>
      </c>
      <c r="E1108" s="1" t="s">
        <v>1366</v>
      </c>
      <c r="F1108" s="1" t="s">
        <v>1367</v>
      </c>
      <c r="G1108" s="3" t="s">
        <v>15</v>
      </c>
      <c r="H1108" s="3" t="str">
        <f>"1"</f>
        <v>1</v>
      </c>
      <c r="I1108" s="4" t="str">
        <f>"200"</f>
        <v>200</v>
      </c>
      <c r="J1108" s="2">
        <v>45905</v>
      </c>
      <c r="K1108" s="1" t="s">
        <v>2950</v>
      </c>
    </row>
    <row r="1109" spans="1:11" x14ac:dyDescent="0.35">
      <c r="A1109" s="3" t="s">
        <v>2720</v>
      </c>
      <c r="B1109" s="1" t="s">
        <v>2931</v>
      </c>
      <c r="C1109" s="1" t="s">
        <v>2962</v>
      </c>
      <c r="D1109" s="1" t="str">
        <f>"8415"</f>
        <v>8415</v>
      </c>
      <c r="E1109" s="1" t="str">
        <f>"015387001"</f>
        <v>015387001</v>
      </c>
      <c r="F1109" s="1" t="s">
        <v>2476</v>
      </c>
      <c r="G1109" s="3" t="s">
        <v>15</v>
      </c>
      <c r="H1109" s="3" t="str">
        <f>"1"</f>
        <v>1</v>
      </c>
      <c r="I1109" s="4">
        <v>115.68</v>
      </c>
      <c r="J1109" s="2">
        <v>45905</v>
      </c>
      <c r="K1109" s="1" t="s">
        <v>2963</v>
      </c>
    </row>
    <row r="1110" spans="1:11" x14ac:dyDescent="0.35">
      <c r="A1110" s="3" t="s">
        <v>2720</v>
      </c>
      <c r="B1110" s="1" t="s">
        <v>2931</v>
      </c>
      <c r="C1110" s="1" t="s">
        <v>2964</v>
      </c>
      <c r="D1110" s="1" t="str">
        <f>"8415"</f>
        <v>8415</v>
      </c>
      <c r="E1110" s="1" t="str">
        <f>"015387761"</f>
        <v>015387761</v>
      </c>
      <c r="F1110" s="1" t="s">
        <v>2476</v>
      </c>
      <c r="G1110" s="3" t="s">
        <v>15</v>
      </c>
      <c r="H1110" s="3" t="str">
        <f>"1"</f>
        <v>1</v>
      </c>
      <c r="I1110" s="4">
        <v>115.68</v>
      </c>
      <c r="J1110" s="2">
        <v>45905</v>
      </c>
      <c r="K1110" s="1" t="s">
        <v>2963</v>
      </c>
    </row>
    <row r="1111" spans="1:11" x14ac:dyDescent="0.35">
      <c r="A1111" s="3" t="s">
        <v>2720</v>
      </c>
      <c r="B1111" s="1" t="s">
        <v>2931</v>
      </c>
      <c r="C1111" s="1" t="s">
        <v>2969</v>
      </c>
      <c r="D1111" s="1" t="str">
        <f>"8465"</f>
        <v>8465</v>
      </c>
      <c r="E1111" s="1" t="str">
        <f>"015800981"</f>
        <v>015800981</v>
      </c>
      <c r="F1111" s="1" t="s">
        <v>921</v>
      </c>
      <c r="G1111" s="3" t="s">
        <v>15</v>
      </c>
      <c r="H1111" s="3" t="str">
        <f>"1"</f>
        <v>1</v>
      </c>
      <c r="I1111" s="4">
        <v>78.14</v>
      </c>
      <c r="J1111" s="2">
        <v>45905</v>
      </c>
      <c r="K1111" s="1" t="s">
        <v>2970</v>
      </c>
    </row>
    <row r="1112" spans="1:11" x14ac:dyDescent="0.35">
      <c r="A1112" s="3" t="s">
        <v>2720</v>
      </c>
      <c r="B1112" s="1" t="s">
        <v>2931</v>
      </c>
      <c r="C1112" s="1" t="s">
        <v>2971</v>
      </c>
      <c r="D1112" s="1" t="str">
        <f>"8465"</f>
        <v>8465</v>
      </c>
      <c r="E1112" s="1" t="s">
        <v>1621</v>
      </c>
      <c r="F1112" s="1" t="s">
        <v>1622</v>
      </c>
      <c r="G1112" s="3" t="s">
        <v>15</v>
      </c>
      <c r="H1112" s="3" t="str">
        <f>"1"</f>
        <v>1</v>
      </c>
      <c r="I1112" s="4" t="str">
        <f>"22"</f>
        <v>22</v>
      </c>
      <c r="J1112" s="2">
        <v>45905</v>
      </c>
      <c r="K1112" s="1" t="s">
        <v>2972</v>
      </c>
    </row>
    <row r="1113" spans="1:11" x14ac:dyDescent="0.35">
      <c r="A1113" s="3" t="s">
        <v>2720</v>
      </c>
      <c r="B1113" s="1" t="s">
        <v>2931</v>
      </c>
      <c r="C1113" s="1" t="s">
        <v>2973</v>
      </c>
      <c r="D1113" s="1" t="str">
        <f>"8465"</f>
        <v>8465</v>
      </c>
      <c r="E1113" s="1" t="str">
        <f>"013969922"</f>
        <v>013969922</v>
      </c>
      <c r="F1113" s="1" t="s">
        <v>852</v>
      </c>
      <c r="G1113" s="3" t="s">
        <v>15</v>
      </c>
      <c r="H1113" s="3" t="str">
        <f>"9"</f>
        <v>9</v>
      </c>
      <c r="I1113" s="4" t="str">
        <f>"119"</f>
        <v>119</v>
      </c>
      <c r="J1113" s="2">
        <v>45905</v>
      </c>
      <c r="K1113" s="1" t="s">
        <v>2974</v>
      </c>
    </row>
    <row r="1114" spans="1:11" x14ac:dyDescent="0.35">
      <c r="A1114" s="3" t="s">
        <v>2720</v>
      </c>
      <c r="B1114" s="1" t="s">
        <v>2745</v>
      </c>
      <c r="C1114" s="1" t="s">
        <v>2746</v>
      </c>
      <c r="D1114" s="1" t="str">
        <f>"8415"</f>
        <v>8415</v>
      </c>
      <c r="E1114" s="1" t="str">
        <f>"013274837"</f>
        <v>013274837</v>
      </c>
      <c r="F1114" s="1" t="s">
        <v>2747</v>
      </c>
      <c r="G1114" s="3" t="s">
        <v>15</v>
      </c>
      <c r="H1114" s="3" t="str">
        <f>"6"</f>
        <v>6</v>
      </c>
      <c r="I1114" s="4">
        <v>6.26</v>
      </c>
      <c r="J1114" s="2">
        <v>45904</v>
      </c>
      <c r="K1114" s="1" t="s">
        <v>2748</v>
      </c>
    </row>
    <row r="1115" spans="1:11" x14ac:dyDescent="0.35">
      <c r="A1115" s="3" t="s">
        <v>2720</v>
      </c>
      <c r="B1115" s="1" t="s">
        <v>2745</v>
      </c>
      <c r="C1115" s="1" t="s">
        <v>2749</v>
      </c>
      <c r="D1115" s="1" t="str">
        <f>"8465"</f>
        <v>8465</v>
      </c>
      <c r="E1115" s="1" t="str">
        <f>"013969922"</f>
        <v>013969922</v>
      </c>
      <c r="F1115" s="1" t="s">
        <v>852</v>
      </c>
      <c r="G1115" s="3" t="s">
        <v>15</v>
      </c>
      <c r="H1115" s="3" t="str">
        <f>"4"</f>
        <v>4</v>
      </c>
      <c r="I1115" s="4" t="str">
        <f>"119"</f>
        <v>119</v>
      </c>
      <c r="J1115" s="2">
        <v>45904</v>
      </c>
      <c r="K1115" s="1" t="s">
        <v>2750</v>
      </c>
    </row>
    <row r="1116" spans="1:11" x14ac:dyDescent="0.35">
      <c r="A1116" s="3" t="s">
        <v>2720</v>
      </c>
      <c r="B1116" s="1" t="s">
        <v>2745</v>
      </c>
      <c r="C1116" s="1" t="s">
        <v>2751</v>
      </c>
      <c r="D1116" s="1" t="str">
        <f>"8465"</f>
        <v>8465</v>
      </c>
      <c r="E1116" s="1" t="str">
        <f>"013969922"</f>
        <v>013969922</v>
      </c>
      <c r="F1116" s="1" t="s">
        <v>852</v>
      </c>
      <c r="G1116" s="3" t="s">
        <v>15</v>
      </c>
      <c r="H1116" s="3" t="str">
        <f>"1"</f>
        <v>1</v>
      </c>
      <c r="I1116" s="4" t="str">
        <f>"119"</f>
        <v>119</v>
      </c>
      <c r="J1116" s="2">
        <v>45904</v>
      </c>
      <c r="K1116" s="1" t="s">
        <v>2752</v>
      </c>
    </row>
    <row r="1117" spans="1:11" x14ac:dyDescent="0.35">
      <c r="A1117" s="3" t="s">
        <v>2720</v>
      </c>
      <c r="B1117" s="1" t="s">
        <v>2745</v>
      </c>
      <c r="C1117" s="1" t="s">
        <v>2753</v>
      </c>
      <c r="D1117" s="1" t="str">
        <f>"8465"</f>
        <v>8465</v>
      </c>
      <c r="E1117" s="1" t="str">
        <f>"013969922"</f>
        <v>013969922</v>
      </c>
      <c r="F1117" s="1" t="s">
        <v>852</v>
      </c>
      <c r="G1117" s="3" t="s">
        <v>15</v>
      </c>
      <c r="H1117" s="3" t="str">
        <f>"1"</f>
        <v>1</v>
      </c>
      <c r="I1117" s="4" t="str">
        <f>"119"</f>
        <v>119</v>
      </c>
      <c r="J1117" s="2">
        <v>45904</v>
      </c>
      <c r="K1117" s="1" t="s">
        <v>2754</v>
      </c>
    </row>
    <row r="1118" spans="1:11" x14ac:dyDescent="0.35">
      <c r="A1118" s="3" t="s">
        <v>2720</v>
      </c>
      <c r="B1118" s="1" t="s">
        <v>2745</v>
      </c>
      <c r="C1118" s="1" t="s">
        <v>2755</v>
      </c>
      <c r="D1118" s="1" t="str">
        <f>"8465"</f>
        <v>8465</v>
      </c>
      <c r="E1118" s="1" t="str">
        <f>"016046541"</f>
        <v>016046541</v>
      </c>
      <c r="F1118" s="1" t="s">
        <v>975</v>
      </c>
      <c r="G1118" s="3" t="s">
        <v>15</v>
      </c>
      <c r="H1118" s="3" t="str">
        <f>"30"</f>
        <v>30</v>
      </c>
      <c r="I1118" s="4">
        <v>41.87</v>
      </c>
      <c r="J1118" s="2">
        <v>45904</v>
      </c>
      <c r="K1118" s="1" t="s">
        <v>2756</v>
      </c>
    </row>
    <row r="1119" spans="1:11" x14ac:dyDescent="0.35">
      <c r="A1119" s="3" t="s">
        <v>2720</v>
      </c>
      <c r="B1119" s="1" t="s">
        <v>2876</v>
      </c>
      <c r="C1119" s="1" t="s">
        <v>2879</v>
      </c>
      <c r="D1119" s="1" t="str">
        <f>"2410"</f>
        <v>2410</v>
      </c>
      <c r="E1119" s="1" t="s">
        <v>2880</v>
      </c>
      <c r="F1119" s="1" t="s">
        <v>2881</v>
      </c>
      <c r="G1119" s="3" t="s">
        <v>15</v>
      </c>
      <c r="H1119" s="3" t="str">
        <f>"1"</f>
        <v>1</v>
      </c>
      <c r="I1119" s="4" t="str">
        <f>"91125"</f>
        <v>91125</v>
      </c>
      <c r="J1119" s="2">
        <v>45904</v>
      </c>
      <c r="K1119" s="1" t="s">
        <v>2882</v>
      </c>
    </row>
    <row r="1120" spans="1:11" x14ac:dyDescent="0.35">
      <c r="A1120" s="3" t="s">
        <v>2720</v>
      </c>
      <c r="B1120" s="1" t="s">
        <v>2897</v>
      </c>
      <c r="C1120" s="1" t="s">
        <v>2900</v>
      </c>
      <c r="D1120" s="1" t="str">
        <f>"1550"</f>
        <v>1550</v>
      </c>
      <c r="E1120" s="1" t="str">
        <f>"016515315"</f>
        <v>016515315</v>
      </c>
      <c r="F1120" s="1" t="s">
        <v>2334</v>
      </c>
      <c r="G1120" s="3" t="s">
        <v>19</v>
      </c>
      <c r="H1120" s="3" t="str">
        <f>"1"</f>
        <v>1</v>
      </c>
      <c r="I1120" s="4" t="str">
        <f>"6700"</f>
        <v>6700</v>
      </c>
      <c r="J1120" s="2">
        <v>45903</v>
      </c>
      <c r="K1120" s="1" t="s">
        <v>2901</v>
      </c>
    </row>
    <row r="1121" spans="1:11" x14ac:dyDescent="0.35">
      <c r="A1121" s="3" t="s">
        <v>2720</v>
      </c>
      <c r="B1121" s="1" t="s">
        <v>2897</v>
      </c>
      <c r="C1121" s="1" t="s">
        <v>2908</v>
      </c>
      <c r="D1121" s="1" t="str">
        <f>"2330"</f>
        <v>2330</v>
      </c>
      <c r="E1121" s="1" t="str">
        <f>"001226779"</f>
        <v>001226779</v>
      </c>
      <c r="F1121" s="1" t="s">
        <v>2230</v>
      </c>
      <c r="G1121" s="3" t="s">
        <v>15</v>
      </c>
      <c r="H1121" s="3" t="str">
        <f>"1"</f>
        <v>1</v>
      </c>
      <c r="I1121" s="4" t="str">
        <f>"17549"</f>
        <v>17549</v>
      </c>
      <c r="J1121" s="2">
        <v>45903</v>
      </c>
      <c r="K1121" s="1" t="s">
        <v>2909</v>
      </c>
    </row>
    <row r="1122" spans="1:11" x14ac:dyDescent="0.35">
      <c r="A1122" s="3" t="s">
        <v>2720</v>
      </c>
      <c r="B1122" s="1" t="s">
        <v>2770</v>
      </c>
      <c r="C1122" s="1" t="s">
        <v>2773</v>
      </c>
      <c r="D1122" s="1" t="str">
        <f>"3930"</f>
        <v>3930</v>
      </c>
      <c r="E1122" s="1" t="str">
        <f>"011580849"</f>
        <v>011580849</v>
      </c>
      <c r="F1122" s="1" t="s">
        <v>2176</v>
      </c>
      <c r="G1122" s="3" t="s">
        <v>15</v>
      </c>
      <c r="H1122" s="3" t="str">
        <f>"1"</f>
        <v>1</v>
      </c>
      <c r="I1122" s="4" t="str">
        <f>"72370"</f>
        <v>72370</v>
      </c>
      <c r="J1122" s="2">
        <v>45899</v>
      </c>
      <c r="K1122" s="1" t="s">
        <v>2774</v>
      </c>
    </row>
    <row r="1123" spans="1:11" x14ac:dyDescent="0.35">
      <c r="A1123" s="3" t="s">
        <v>2720</v>
      </c>
      <c r="B1123" s="1" t="s">
        <v>2721</v>
      </c>
      <c r="C1123" s="1" t="s">
        <v>2726</v>
      </c>
      <c r="D1123" s="1" t="str">
        <f>"4110"</f>
        <v>4110</v>
      </c>
      <c r="E1123" s="1" t="s">
        <v>2727</v>
      </c>
      <c r="F1123" s="1" t="s">
        <v>2728</v>
      </c>
      <c r="G1123" s="3" t="s">
        <v>15</v>
      </c>
      <c r="H1123" s="3" t="str">
        <f>"6"</f>
        <v>6</v>
      </c>
      <c r="I1123" s="4">
        <v>365.51</v>
      </c>
      <c r="J1123" s="2">
        <v>45897</v>
      </c>
      <c r="K1123" s="1" t="s">
        <v>2729</v>
      </c>
    </row>
    <row r="1124" spans="1:11" x14ac:dyDescent="0.35">
      <c r="A1124" s="3" t="s">
        <v>2720</v>
      </c>
      <c r="B1124" s="1" t="s">
        <v>2740</v>
      </c>
      <c r="C1124" s="1" t="s">
        <v>2741</v>
      </c>
      <c r="D1124" s="1" t="str">
        <f>"8145"</f>
        <v>8145</v>
      </c>
      <c r="E1124" s="1" t="s">
        <v>2742</v>
      </c>
      <c r="F1124" s="1" t="s">
        <v>2743</v>
      </c>
      <c r="G1124" s="3" t="s">
        <v>15</v>
      </c>
      <c r="H1124" s="3" t="str">
        <f>"3"</f>
        <v>3</v>
      </c>
      <c r="I1124" s="4" t="str">
        <f>"280"</f>
        <v>280</v>
      </c>
      <c r="J1124" s="2">
        <v>45897</v>
      </c>
      <c r="K1124" s="1" t="s">
        <v>2744</v>
      </c>
    </row>
    <row r="1125" spans="1:11" x14ac:dyDescent="0.35">
      <c r="A1125" s="3" t="s">
        <v>2720</v>
      </c>
      <c r="B1125" s="1" t="s">
        <v>2779</v>
      </c>
      <c r="C1125" s="1" t="s">
        <v>2783</v>
      </c>
      <c r="D1125" s="1" t="str">
        <f>"5120"</f>
        <v>5120</v>
      </c>
      <c r="E1125" s="1" t="str">
        <f>"012926225"</f>
        <v>012926225</v>
      </c>
      <c r="F1125" s="1" t="s">
        <v>500</v>
      </c>
      <c r="G1125" s="3" t="s">
        <v>15</v>
      </c>
      <c r="H1125" s="3" t="str">
        <f>"6"</f>
        <v>6</v>
      </c>
      <c r="I1125" s="4">
        <v>204.87</v>
      </c>
      <c r="J1125" s="2">
        <v>45897</v>
      </c>
      <c r="K1125" s="1" t="s">
        <v>2784</v>
      </c>
    </row>
    <row r="1126" spans="1:11" x14ac:dyDescent="0.35">
      <c r="A1126" s="3" t="s">
        <v>2720</v>
      </c>
      <c r="B1126" s="1" t="s">
        <v>2779</v>
      </c>
      <c r="C1126" s="1" t="s">
        <v>2785</v>
      </c>
      <c r="D1126" s="1" t="str">
        <f>"5140"</f>
        <v>5140</v>
      </c>
      <c r="E1126" s="1" t="s">
        <v>161</v>
      </c>
      <c r="F1126" s="1" t="s">
        <v>162</v>
      </c>
      <c r="G1126" s="3" t="s">
        <v>15</v>
      </c>
      <c r="H1126" s="3" t="str">
        <f>"4"</f>
        <v>4</v>
      </c>
      <c r="I1126" s="4">
        <v>4016.97</v>
      </c>
      <c r="J1126" s="2">
        <v>45897</v>
      </c>
      <c r="K1126" s="1" t="s">
        <v>2786</v>
      </c>
    </row>
    <row r="1127" spans="1:11" x14ac:dyDescent="0.35">
      <c r="A1127" s="3" t="s">
        <v>2720</v>
      </c>
      <c r="B1127" s="1" t="s">
        <v>2779</v>
      </c>
      <c r="C1127" s="1" t="s">
        <v>2789</v>
      </c>
      <c r="D1127" s="1" t="str">
        <f>"6515"</f>
        <v>6515</v>
      </c>
      <c r="E1127" s="1" t="str">
        <f>"015892321"</f>
        <v>015892321</v>
      </c>
      <c r="F1127" s="1" t="s">
        <v>2790</v>
      </c>
      <c r="G1127" s="3" t="s">
        <v>15</v>
      </c>
      <c r="H1127" s="3" t="str">
        <f>"1"</f>
        <v>1</v>
      </c>
      <c r="I1127" s="4">
        <v>1402.36</v>
      </c>
      <c r="J1127" s="2">
        <v>45897</v>
      </c>
      <c r="K1127" s="1" t="s">
        <v>2791</v>
      </c>
    </row>
    <row r="1128" spans="1:11" x14ac:dyDescent="0.35">
      <c r="A1128" s="3" t="s">
        <v>2720</v>
      </c>
      <c r="B1128" s="1" t="s">
        <v>2779</v>
      </c>
      <c r="C1128" s="1" t="s">
        <v>2792</v>
      </c>
      <c r="D1128" s="1" t="str">
        <f>"6545"</f>
        <v>6545</v>
      </c>
      <c r="E1128" s="1" t="str">
        <f>"014448217"</f>
        <v>014448217</v>
      </c>
      <c r="F1128" s="1" t="s">
        <v>2793</v>
      </c>
      <c r="G1128" s="3" t="s">
        <v>19</v>
      </c>
      <c r="H1128" s="3" t="str">
        <f>"1"</f>
        <v>1</v>
      </c>
      <c r="I1128" s="4">
        <v>350.45</v>
      </c>
      <c r="J1128" s="2">
        <v>45897</v>
      </c>
      <c r="K1128" s="1" t="s">
        <v>2794</v>
      </c>
    </row>
    <row r="1129" spans="1:11" x14ac:dyDescent="0.35">
      <c r="A1129" s="3" t="s">
        <v>2720</v>
      </c>
      <c r="B1129" s="1" t="s">
        <v>2779</v>
      </c>
      <c r="C1129" s="1" t="s">
        <v>2795</v>
      </c>
      <c r="D1129" s="1" t="str">
        <f>"6645"</f>
        <v>6645</v>
      </c>
      <c r="E1129" s="1" t="s">
        <v>2796</v>
      </c>
      <c r="F1129" s="1" t="s">
        <v>2797</v>
      </c>
      <c r="G1129" s="3" t="s">
        <v>15</v>
      </c>
      <c r="H1129" s="3" t="str">
        <f>"1"</f>
        <v>1</v>
      </c>
      <c r="I1129" s="4">
        <v>68.540000000000006</v>
      </c>
      <c r="J1129" s="2">
        <v>45897</v>
      </c>
      <c r="K1129" s="1" t="s">
        <v>2798</v>
      </c>
    </row>
    <row r="1130" spans="1:11" x14ac:dyDescent="0.35">
      <c r="A1130" s="3" t="s">
        <v>2720</v>
      </c>
      <c r="B1130" s="1" t="s">
        <v>2779</v>
      </c>
      <c r="C1130" s="1" t="s">
        <v>2799</v>
      </c>
      <c r="D1130" s="1" t="str">
        <f>"6645"</f>
        <v>6645</v>
      </c>
      <c r="E1130" s="1" t="s">
        <v>2796</v>
      </c>
      <c r="F1130" s="1" t="s">
        <v>2797</v>
      </c>
      <c r="G1130" s="3" t="s">
        <v>15</v>
      </c>
      <c r="H1130" s="3" t="str">
        <f>"2"</f>
        <v>2</v>
      </c>
      <c r="I1130" s="4">
        <v>68.540000000000006</v>
      </c>
      <c r="J1130" s="2">
        <v>45897</v>
      </c>
      <c r="K1130" s="1" t="s">
        <v>2798</v>
      </c>
    </row>
    <row r="1131" spans="1:11" x14ac:dyDescent="0.35">
      <c r="A1131" s="3" t="s">
        <v>2720</v>
      </c>
      <c r="B1131" s="1" t="s">
        <v>2779</v>
      </c>
      <c r="C1131" s="1" t="s">
        <v>2800</v>
      </c>
      <c r="D1131" s="1" t="str">
        <f>"6720"</f>
        <v>6720</v>
      </c>
      <c r="E1131" s="1" t="s">
        <v>443</v>
      </c>
      <c r="F1131" s="1" t="s">
        <v>444</v>
      </c>
      <c r="G1131" s="3" t="s">
        <v>15</v>
      </c>
      <c r="H1131" s="3" t="str">
        <f>"4"</f>
        <v>4</v>
      </c>
      <c r="I1131" s="4" t="str">
        <f>"481"</f>
        <v>481</v>
      </c>
      <c r="J1131" s="2">
        <v>45897</v>
      </c>
      <c r="K1131" s="1" t="s">
        <v>2801</v>
      </c>
    </row>
    <row r="1132" spans="1:11" x14ac:dyDescent="0.35">
      <c r="A1132" s="3" t="s">
        <v>2720</v>
      </c>
      <c r="B1132" s="1" t="s">
        <v>2779</v>
      </c>
      <c r="C1132" s="1" t="s">
        <v>2802</v>
      </c>
      <c r="D1132" s="1" t="str">
        <f>"6720"</f>
        <v>6720</v>
      </c>
      <c r="E1132" s="1" t="str">
        <f>"015474588"</f>
        <v>015474588</v>
      </c>
      <c r="F1132" s="1" t="s">
        <v>1550</v>
      </c>
      <c r="G1132" s="3" t="s">
        <v>15</v>
      </c>
      <c r="H1132" s="3" t="str">
        <f>"1"</f>
        <v>1</v>
      </c>
      <c r="I1132" s="4">
        <v>18184.93</v>
      </c>
      <c r="J1132" s="2">
        <v>45897</v>
      </c>
      <c r="K1132" s="1" t="s">
        <v>2803</v>
      </c>
    </row>
    <row r="1133" spans="1:11" x14ac:dyDescent="0.35">
      <c r="A1133" s="3" t="s">
        <v>2720</v>
      </c>
      <c r="B1133" s="1" t="s">
        <v>2779</v>
      </c>
      <c r="C1133" s="1" t="s">
        <v>2804</v>
      </c>
      <c r="D1133" s="1" t="str">
        <f>"6760"</f>
        <v>6760</v>
      </c>
      <c r="E1133" s="1" t="s">
        <v>671</v>
      </c>
      <c r="F1133" s="1" t="s">
        <v>672</v>
      </c>
      <c r="G1133" s="3" t="s">
        <v>15</v>
      </c>
      <c r="H1133" s="3" t="str">
        <f>"1"</f>
        <v>1</v>
      </c>
      <c r="I1133" s="4" t="str">
        <f>"200"</f>
        <v>200</v>
      </c>
      <c r="J1133" s="2">
        <v>45897</v>
      </c>
      <c r="K1133" s="1" t="s">
        <v>2803</v>
      </c>
    </row>
    <row r="1134" spans="1:11" x14ac:dyDescent="0.35">
      <c r="A1134" s="3" t="s">
        <v>2720</v>
      </c>
      <c r="B1134" s="1" t="s">
        <v>2779</v>
      </c>
      <c r="C1134" s="1" t="s">
        <v>2805</v>
      </c>
      <c r="D1134" s="1" t="str">
        <f>"6760"</f>
        <v>6760</v>
      </c>
      <c r="E1134" s="1" t="s">
        <v>676</v>
      </c>
      <c r="F1134" s="1" t="s">
        <v>677</v>
      </c>
      <c r="G1134" s="3" t="s">
        <v>15</v>
      </c>
      <c r="H1134" s="3" t="str">
        <f>"1"</f>
        <v>1</v>
      </c>
      <c r="I1134" s="4" t="str">
        <f>"200"</f>
        <v>200</v>
      </c>
      <c r="J1134" s="2">
        <v>45897</v>
      </c>
      <c r="K1134" s="1" t="s">
        <v>2803</v>
      </c>
    </row>
    <row r="1135" spans="1:11" x14ac:dyDescent="0.35">
      <c r="A1135" s="3" t="s">
        <v>2720</v>
      </c>
      <c r="B1135" s="1" t="s">
        <v>2779</v>
      </c>
      <c r="C1135" s="1" t="s">
        <v>2808</v>
      </c>
      <c r="D1135" s="1" t="str">
        <f>"8140"</f>
        <v>8140</v>
      </c>
      <c r="E1135" s="1" t="str">
        <f>"008282938"</f>
        <v>008282938</v>
      </c>
      <c r="F1135" s="1" t="s">
        <v>1599</v>
      </c>
      <c r="G1135" s="3" t="s">
        <v>15</v>
      </c>
      <c r="H1135" s="3" t="str">
        <f>"25"</f>
        <v>25</v>
      </c>
      <c r="I1135" s="4">
        <v>3.88</v>
      </c>
      <c r="J1135" s="2">
        <v>45897</v>
      </c>
      <c r="K1135" s="1" t="s">
        <v>2809</v>
      </c>
    </row>
    <row r="1136" spans="1:11" x14ac:dyDescent="0.35">
      <c r="A1136" s="3" t="s">
        <v>2720</v>
      </c>
      <c r="B1136" s="1" t="s">
        <v>2779</v>
      </c>
      <c r="C1136" s="1" t="s">
        <v>2810</v>
      </c>
      <c r="D1136" s="1" t="str">
        <f>"8145"</f>
        <v>8145</v>
      </c>
      <c r="E1136" s="1" t="s">
        <v>747</v>
      </c>
      <c r="F1136" s="1" t="s">
        <v>748</v>
      </c>
      <c r="G1136" s="3" t="s">
        <v>15</v>
      </c>
      <c r="H1136" s="3" t="str">
        <f>"10"</f>
        <v>10</v>
      </c>
      <c r="I1136" s="4" t="str">
        <f>"142"</f>
        <v>142</v>
      </c>
      <c r="J1136" s="2">
        <v>45897</v>
      </c>
      <c r="K1136" s="1" t="s">
        <v>2811</v>
      </c>
    </row>
    <row r="1137" spans="1:11" x14ac:dyDescent="0.35">
      <c r="A1137" s="3" t="s">
        <v>2720</v>
      </c>
      <c r="B1137" s="1" t="s">
        <v>2779</v>
      </c>
      <c r="C1137" s="1" t="s">
        <v>2812</v>
      </c>
      <c r="D1137" s="1" t="str">
        <f>"8405"</f>
        <v>8405</v>
      </c>
      <c r="E1137" s="1" t="s">
        <v>2813</v>
      </c>
      <c r="F1137" s="1" t="s">
        <v>2814</v>
      </c>
      <c r="G1137" s="3" t="s">
        <v>15</v>
      </c>
      <c r="H1137" s="3" t="str">
        <f>"2"</f>
        <v>2</v>
      </c>
      <c r="I1137" s="4">
        <v>65.33</v>
      </c>
      <c r="J1137" s="2">
        <v>45897</v>
      </c>
      <c r="K1137" s="1" t="s">
        <v>2815</v>
      </c>
    </row>
    <row r="1138" spans="1:11" x14ac:dyDescent="0.35">
      <c r="A1138" s="3" t="s">
        <v>2720</v>
      </c>
      <c r="B1138" s="1" t="s">
        <v>2779</v>
      </c>
      <c r="C1138" s="1" t="s">
        <v>2816</v>
      </c>
      <c r="D1138" s="1" t="str">
        <f>"8405"</f>
        <v>8405</v>
      </c>
      <c r="E1138" s="1" t="s">
        <v>2813</v>
      </c>
      <c r="F1138" s="1" t="s">
        <v>2814</v>
      </c>
      <c r="G1138" s="3" t="s">
        <v>15</v>
      </c>
      <c r="H1138" s="3" t="str">
        <f>"2"</f>
        <v>2</v>
      </c>
      <c r="I1138" s="4">
        <v>65.33</v>
      </c>
      <c r="J1138" s="2">
        <v>45897</v>
      </c>
      <c r="K1138" s="1" t="s">
        <v>2817</v>
      </c>
    </row>
    <row r="1139" spans="1:11" x14ac:dyDescent="0.35">
      <c r="A1139" s="3" t="s">
        <v>2720</v>
      </c>
      <c r="B1139" s="1" t="s">
        <v>2779</v>
      </c>
      <c r="C1139" s="1" t="s">
        <v>2818</v>
      </c>
      <c r="D1139" s="1" t="str">
        <f>"8405"</f>
        <v>8405</v>
      </c>
      <c r="E1139" s="1" t="s">
        <v>2813</v>
      </c>
      <c r="F1139" s="1" t="s">
        <v>2814</v>
      </c>
      <c r="G1139" s="3" t="s">
        <v>15</v>
      </c>
      <c r="H1139" s="3" t="str">
        <f>"4"</f>
        <v>4</v>
      </c>
      <c r="I1139" s="4">
        <v>65.33</v>
      </c>
      <c r="J1139" s="2">
        <v>45897</v>
      </c>
      <c r="K1139" s="1" t="s">
        <v>2819</v>
      </c>
    </row>
    <row r="1140" spans="1:11" x14ac:dyDescent="0.35">
      <c r="A1140" s="3" t="s">
        <v>2720</v>
      </c>
      <c r="B1140" s="1" t="s">
        <v>2779</v>
      </c>
      <c r="C1140" s="1" t="s">
        <v>2820</v>
      </c>
      <c r="D1140" s="1" t="str">
        <f>"8405"</f>
        <v>8405</v>
      </c>
      <c r="E1140" s="1" t="s">
        <v>2813</v>
      </c>
      <c r="F1140" s="1" t="s">
        <v>2814</v>
      </c>
      <c r="G1140" s="3" t="s">
        <v>15</v>
      </c>
      <c r="H1140" s="3" t="str">
        <f>"3"</f>
        <v>3</v>
      </c>
      <c r="I1140" s="4">
        <v>65.33</v>
      </c>
      <c r="J1140" s="2">
        <v>45897</v>
      </c>
      <c r="K1140" s="1" t="s">
        <v>2819</v>
      </c>
    </row>
    <row r="1141" spans="1:11" x14ac:dyDescent="0.35">
      <c r="A1141" s="3" t="s">
        <v>2720</v>
      </c>
      <c r="B1141" s="1" t="s">
        <v>2779</v>
      </c>
      <c r="C1141" s="1" t="s">
        <v>2821</v>
      </c>
      <c r="D1141" s="1" t="str">
        <f>"8405"</f>
        <v>8405</v>
      </c>
      <c r="E1141" s="1" t="s">
        <v>2813</v>
      </c>
      <c r="F1141" s="1" t="s">
        <v>2814</v>
      </c>
      <c r="G1141" s="3" t="s">
        <v>15</v>
      </c>
      <c r="H1141" s="3" t="str">
        <f>"8"</f>
        <v>8</v>
      </c>
      <c r="I1141" s="4">
        <v>65.33</v>
      </c>
      <c r="J1141" s="2">
        <v>45897</v>
      </c>
      <c r="K1141" s="1" t="s">
        <v>2819</v>
      </c>
    </row>
    <row r="1142" spans="1:11" x14ac:dyDescent="0.35">
      <c r="A1142" s="3" t="s">
        <v>2720</v>
      </c>
      <c r="B1142" s="1" t="s">
        <v>2779</v>
      </c>
      <c r="C1142" s="1" t="s">
        <v>2822</v>
      </c>
      <c r="D1142" s="1" t="str">
        <f>"8415"</f>
        <v>8415</v>
      </c>
      <c r="E1142" s="1" t="s">
        <v>1359</v>
      </c>
      <c r="F1142" s="1" t="s">
        <v>1360</v>
      </c>
      <c r="G1142" s="3" t="s">
        <v>15</v>
      </c>
      <c r="H1142" s="3" t="str">
        <f>"7"</f>
        <v>7</v>
      </c>
      <c r="I1142" s="4">
        <v>51.4</v>
      </c>
      <c r="J1142" s="2">
        <v>45897</v>
      </c>
      <c r="K1142" s="1" t="s">
        <v>2823</v>
      </c>
    </row>
    <row r="1143" spans="1:11" x14ac:dyDescent="0.35">
      <c r="A1143" s="3" t="s">
        <v>2720</v>
      </c>
      <c r="B1143" s="1" t="s">
        <v>2779</v>
      </c>
      <c r="C1143" s="1" t="s">
        <v>2824</v>
      </c>
      <c r="D1143" s="1" t="str">
        <f>"8415"</f>
        <v>8415</v>
      </c>
      <c r="E1143" s="1" t="s">
        <v>1359</v>
      </c>
      <c r="F1143" s="1" t="s">
        <v>1360</v>
      </c>
      <c r="G1143" s="3" t="s">
        <v>15</v>
      </c>
      <c r="H1143" s="3" t="str">
        <f>"5"</f>
        <v>5</v>
      </c>
      <c r="I1143" s="4">
        <v>51.4</v>
      </c>
      <c r="J1143" s="2">
        <v>45897</v>
      </c>
      <c r="K1143" s="1" t="s">
        <v>2823</v>
      </c>
    </row>
    <row r="1144" spans="1:11" x14ac:dyDescent="0.35">
      <c r="A1144" s="3" t="s">
        <v>2720</v>
      </c>
      <c r="B1144" s="1" t="s">
        <v>2779</v>
      </c>
      <c r="C1144" s="1" t="s">
        <v>2825</v>
      </c>
      <c r="D1144" s="1" t="str">
        <f>"8415"</f>
        <v>8415</v>
      </c>
      <c r="E1144" s="1" t="s">
        <v>1359</v>
      </c>
      <c r="F1144" s="1" t="s">
        <v>1360</v>
      </c>
      <c r="G1144" s="3" t="s">
        <v>15</v>
      </c>
      <c r="H1144" s="3" t="str">
        <f>"1"</f>
        <v>1</v>
      </c>
      <c r="I1144" s="4" t="str">
        <f>"200"</f>
        <v>200</v>
      </c>
      <c r="J1144" s="2">
        <v>45897</v>
      </c>
      <c r="K1144" s="1" t="s">
        <v>2823</v>
      </c>
    </row>
    <row r="1145" spans="1:11" x14ac:dyDescent="0.35">
      <c r="A1145" s="3" t="s">
        <v>2720</v>
      </c>
      <c r="B1145" s="1" t="s">
        <v>2779</v>
      </c>
      <c r="C1145" s="1" t="s">
        <v>2826</v>
      </c>
      <c r="D1145" s="1" t="str">
        <f>"8465"</f>
        <v>8465</v>
      </c>
      <c r="E1145" s="1" t="str">
        <f>"016416358"</f>
        <v>016416358</v>
      </c>
      <c r="F1145" s="1" t="s">
        <v>857</v>
      </c>
      <c r="G1145" s="3" t="s">
        <v>15</v>
      </c>
      <c r="H1145" s="3" t="str">
        <f>"12"</f>
        <v>12</v>
      </c>
      <c r="I1145" s="4" t="str">
        <f>"120"</f>
        <v>120</v>
      </c>
      <c r="J1145" s="2">
        <v>45897</v>
      </c>
      <c r="K1145" s="1" t="s">
        <v>2827</v>
      </c>
    </row>
    <row r="1146" spans="1:11" x14ac:dyDescent="0.35">
      <c r="A1146" s="3" t="s">
        <v>2720</v>
      </c>
      <c r="B1146" s="1" t="s">
        <v>2931</v>
      </c>
      <c r="C1146" s="1" t="s">
        <v>2934</v>
      </c>
      <c r="D1146" s="1" t="str">
        <f>"5140"</f>
        <v>5140</v>
      </c>
      <c r="E1146" s="1" t="s">
        <v>161</v>
      </c>
      <c r="F1146" s="1" t="s">
        <v>162</v>
      </c>
      <c r="G1146" s="3" t="s">
        <v>15</v>
      </c>
      <c r="H1146" s="3" t="str">
        <f>"2"</f>
        <v>2</v>
      </c>
      <c r="I1146" s="4">
        <v>4016.97</v>
      </c>
      <c r="J1146" s="2">
        <v>45897</v>
      </c>
      <c r="K1146" s="1" t="s">
        <v>2935</v>
      </c>
    </row>
    <row r="1147" spans="1:11" x14ac:dyDescent="0.35">
      <c r="A1147" s="3" t="s">
        <v>2720</v>
      </c>
      <c r="B1147" s="1" t="s">
        <v>2931</v>
      </c>
      <c r="C1147" s="1" t="s">
        <v>2946</v>
      </c>
      <c r="D1147" s="1" t="str">
        <f>"7710"</f>
        <v>7710</v>
      </c>
      <c r="E1147" s="1" t="str">
        <f>"004895597"</f>
        <v>004895597</v>
      </c>
      <c r="F1147" s="1" t="s">
        <v>2947</v>
      </c>
      <c r="G1147" s="3" t="s">
        <v>15</v>
      </c>
      <c r="H1147" s="3" t="str">
        <f>"1"</f>
        <v>1</v>
      </c>
      <c r="I1147" s="4">
        <v>882.64</v>
      </c>
      <c r="J1147" s="2">
        <v>45897</v>
      </c>
      <c r="K1147" s="1" t="s">
        <v>2948</v>
      </c>
    </row>
    <row r="1148" spans="1:11" x14ac:dyDescent="0.35">
      <c r="A1148" s="3" t="s">
        <v>2720</v>
      </c>
      <c r="B1148" s="1" t="s">
        <v>2931</v>
      </c>
      <c r="C1148" s="1" t="s">
        <v>2951</v>
      </c>
      <c r="D1148" s="1" t="str">
        <f>"8145"</f>
        <v>8145</v>
      </c>
      <c r="E1148" s="1" t="s">
        <v>747</v>
      </c>
      <c r="F1148" s="1" t="s">
        <v>748</v>
      </c>
      <c r="G1148" s="3" t="s">
        <v>15</v>
      </c>
      <c r="H1148" s="3" t="str">
        <f>"10"</f>
        <v>10</v>
      </c>
      <c r="I1148" s="4" t="str">
        <f>"142"</f>
        <v>142</v>
      </c>
      <c r="J1148" s="2">
        <v>45897</v>
      </c>
      <c r="K1148" s="1" t="s">
        <v>2952</v>
      </c>
    </row>
    <row r="1149" spans="1:11" x14ac:dyDescent="0.35">
      <c r="A1149" s="3" t="s">
        <v>2720</v>
      </c>
      <c r="B1149" s="1" t="s">
        <v>2931</v>
      </c>
      <c r="C1149" s="1" t="s">
        <v>2953</v>
      </c>
      <c r="D1149" s="1" t="str">
        <f>"8145"</f>
        <v>8145</v>
      </c>
      <c r="E1149" s="1" t="s">
        <v>2742</v>
      </c>
      <c r="F1149" s="1" t="s">
        <v>2743</v>
      </c>
      <c r="G1149" s="3" t="s">
        <v>15</v>
      </c>
      <c r="H1149" s="3" t="str">
        <f>"20"</f>
        <v>20</v>
      </c>
      <c r="I1149" s="4" t="str">
        <f>"200"</f>
        <v>200</v>
      </c>
      <c r="J1149" s="2">
        <v>45897</v>
      </c>
      <c r="K1149" s="1" t="s">
        <v>2954</v>
      </c>
    </row>
    <row r="1150" spans="1:11" x14ac:dyDescent="0.35">
      <c r="A1150" s="3" t="s">
        <v>2720</v>
      </c>
      <c r="B1150" s="1" t="s">
        <v>2931</v>
      </c>
      <c r="C1150" s="1" t="s">
        <v>2959</v>
      </c>
      <c r="D1150" s="1" t="str">
        <f>"8405"</f>
        <v>8405</v>
      </c>
      <c r="E1150" s="1" t="str">
        <f>"014439622"</f>
        <v>014439622</v>
      </c>
      <c r="F1150" s="1" t="s">
        <v>2960</v>
      </c>
      <c r="G1150" s="3" t="s">
        <v>15</v>
      </c>
      <c r="H1150" s="3" t="str">
        <f>"1"</f>
        <v>1</v>
      </c>
      <c r="I1150" s="4">
        <v>77.84</v>
      </c>
      <c r="J1150" s="2">
        <v>45897</v>
      </c>
      <c r="K1150" s="1" t="s">
        <v>2961</v>
      </c>
    </row>
    <row r="1151" spans="1:11" x14ac:dyDescent="0.35">
      <c r="A1151" s="3" t="s">
        <v>2720</v>
      </c>
      <c r="B1151" s="1" t="s">
        <v>2757</v>
      </c>
      <c r="C1151" s="1" t="s">
        <v>2758</v>
      </c>
      <c r="D1151" s="1" t="str">
        <f>"6920"</f>
        <v>6920</v>
      </c>
      <c r="E1151" s="1" t="s">
        <v>2759</v>
      </c>
      <c r="F1151" s="1" t="s">
        <v>2760</v>
      </c>
      <c r="G1151" s="3" t="s">
        <v>15</v>
      </c>
      <c r="H1151" s="3" t="str">
        <f>"20"</f>
        <v>20</v>
      </c>
      <c r="I1151" s="4" t="str">
        <f>"50"</f>
        <v>50</v>
      </c>
      <c r="J1151" s="2">
        <v>45895</v>
      </c>
      <c r="K1151" s="1" t="s">
        <v>2761</v>
      </c>
    </row>
    <row r="1152" spans="1:11" x14ac:dyDescent="0.35">
      <c r="A1152" s="3" t="s">
        <v>2720</v>
      </c>
      <c r="B1152" s="1" t="s">
        <v>2757</v>
      </c>
      <c r="C1152" s="1" t="s">
        <v>2762</v>
      </c>
      <c r="D1152" s="1" t="str">
        <f>"8465"</f>
        <v>8465</v>
      </c>
      <c r="E1152" s="1" t="s">
        <v>2516</v>
      </c>
      <c r="F1152" s="1" t="s">
        <v>2517</v>
      </c>
      <c r="G1152" s="3" t="s">
        <v>15</v>
      </c>
      <c r="H1152" s="3" t="str">
        <f>"35"</f>
        <v>35</v>
      </c>
      <c r="I1152" s="4" t="str">
        <f>"10"</f>
        <v>10</v>
      </c>
      <c r="J1152" s="2">
        <v>45895</v>
      </c>
      <c r="K1152" s="1" t="s">
        <v>2763</v>
      </c>
    </row>
    <row r="1153" spans="1:11" x14ac:dyDescent="0.35">
      <c r="A1153" s="3" t="s">
        <v>2720</v>
      </c>
      <c r="B1153" s="1" t="s">
        <v>2757</v>
      </c>
      <c r="C1153" s="1" t="s">
        <v>2764</v>
      </c>
      <c r="D1153" s="1" t="str">
        <f>"8465"</f>
        <v>8465</v>
      </c>
      <c r="E1153" s="1" t="s">
        <v>2516</v>
      </c>
      <c r="F1153" s="1" t="s">
        <v>2517</v>
      </c>
      <c r="G1153" s="3" t="s">
        <v>15</v>
      </c>
      <c r="H1153" s="3" t="str">
        <f>"35"</f>
        <v>35</v>
      </c>
      <c r="I1153" s="4" t="str">
        <f>"10"</f>
        <v>10</v>
      </c>
      <c r="J1153" s="2">
        <v>45895</v>
      </c>
      <c r="K1153" s="1" t="s">
        <v>2763</v>
      </c>
    </row>
    <row r="1154" spans="1:11" x14ac:dyDescent="0.35">
      <c r="A1154" s="3" t="s">
        <v>2720</v>
      </c>
      <c r="B1154" s="1" t="s">
        <v>2897</v>
      </c>
      <c r="C1154" s="1" t="s">
        <v>2898</v>
      </c>
      <c r="D1154" s="1" t="str">
        <f>"1240"</f>
        <v>1240</v>
      </c>
      <c r="E1154" s="1" t="str">
        <f>"015042221"</f>
        <v>015042221</v>
      </c>
      <c r="F1154" s="1" t="s">
        <v>208</v>
      </c>
      <c r="G1154" s="3" t="s">
        <v>15</v>
      </c>
      <c r="H1154" s="3" t="str">
        <f>"1"</f>
        <v>1</v>
      </c>
      <c r="I1154" s="4" t="str">
        <f>"20501"</f>
        <v>20501</v>
      </c>
      <c r="J1154" s="2">
        <v>45895</v>
      </c>
      <c r="K1154" s="1" t="s">
        <v>2899</v>
      </c>
    </row>
    <row r="1155" spans="1:11" x14ac:dyDescent="0.35">
      <c r="A1155" s="3" t="s">
        <v>2720</v>
      </c>
      <c r="B1155" s="1" t="s">
        <v>2897</v>
      </c>
      <c r="C1155" s="1" t="s">
        <v>2917</v>
      </c>
      <c r="D1155" s="1" t="str">
        <f>"5855"</f>
        <v>5855</v>
      </c>
      <c r="E1155" s="1" t="s">
        <v>2918</v>
      </c>
      <c r="F1155" s="1" t="s">
        <v>2919</v>
      </c>
      <c r="G1155" s="3" t="s">
        <v>15</v>
      </c>
      <c r="H1155" s="3" t="str">
        <f>"1"</f>
        <v>1</v>
      </c>
      <c r="I1155" s="4" t="str">
        <f>"15735"</f>
        <v>15735</v>
      </c>
      <c r="J1155" s="2">
        <v>45895</v>
      </c>
      <c r="K1155" s="1" t="s">
        <v>2920</v>
      </c>
    </row>
    <row r="1156" spans="1:11" x14ac:dyDescent="0.35">
      <c r="A1156" s="3" t="s">
        <v>2720</v>
      </c>
      <c r="B1156" s="1" t="s">
        <v>2897</v>
      </c>
      <c r="C1156" s="1" t="s">
        <v>2926</v>
      </c>
      <c r="D1156" s="1" t="str">
        <f>"6920"</f>
        <v>6920</v>
      </c>
      <c r="E1156" s="1" t="str">
        <f>"015926266"</f>
        <v>015926266</v>
      </c>
      <c r="F1156" s="1" t="s">
        <v>2927</v>
      </c>
      <c r="G1156" s="3" t="s">
        <v>15</v>
      </c>
      <c r="H1156" s="3" t="str">
        <f>"1"</f>
        <v>1</v>
      </c>
      <c r="I1156" s="4">
        <v>87480.81</v>
      </c>
      <c r="J1156" s="2">
        <v>45895</v>
      </c>
      <c r="K1156" s="1" t="s">
        <v>2928</v>
      </c>
    </row>
    <row r="1157" spans="1:11" x14ac:dyDescent="0.35">
      <c r="A1157" s="3" t="s">
        <v>2720</v>
      </c>
      <c r="B1157" s="1" t="s">
        <v>2842</v>
      </c>
      <c r="C1157" s="1" t="s">
        <v>2858</v>
      </c>
      <c r="D1157" s="1" t="str">
        <f>"8145"</f>
        <v>8145</v>
      </c>
      <c r="E1157" s="1" t="str">
        <f>"013847330"</f>
        <v>013847330</v>
      </c>
      <c r="F1157" s="1" t="s">
        <v>599</v>
      </c>
      <c r="G1157" s="3" t="s">
        <v>15</v>
      </c>
      <c r="H1157" s="3" t="str">
        <f>"1"</f>
        <v>1</v>
      </c>
      <c r="I1157" s="4">
        <v>8317.31</v>
      </c>
      <c r="J1157" s="2">
        <v>45889</v>
      </c>
      <c r="K1157" s="1" t="s">
        <v>2859</v>
      </c>
    </row>
    <row r="1158" spans="1:11" x14ac:dyDescent="0.35">
      <c r="A1158" s="3" t="s">
        <v>2720</v>
      </c>
      <c r="B1158" s="1" t="s">
        <v>2842</v>
      </c>
      <c r="C1158" s="1" t="s">
        <v>2860</v>
      </c>
      <c r="D1158" s="1" t="str">
        <f>"8145"</f>
        <v>8145</v>
      </c>
      <c r="E1158" s="1" t="str">
        <f>"015104442"</f>
        <v>015104442</v>
      </c>
      <c r="F1158" s="1" t="s">
        <v>1353</v>
      </c>
      <c r="G1158" s="3" t="s">
        <v>15</v>
      </c>
      <c r="H1158" s="3" t="str">
        <f>"2"</f>
        <v>2</v>
      </c>
      <c r="I1158" s="4">
        <v>18855.59</v>
      </c>
      <c r="J1158" s="2">
        <v>45889</v>
      </c>
      <c r="K1158" s="1" t="s">
        <v>2861</v>
      </c>
    </row>
    <row r="1159" spans="1:11" x14ac:dyDescent="0.35">
      <c r="A1159" s="3" t="s">
        <v>2720</v>
      </c>
      <c r="B1159" s="1" t="s">
        <v>2897</v>
      </c>
      <c r="C1159" s="1" t="s">
        <v>2910</v>
      </c>
      <c r="D1159" s="1" t="str">
        <f>"2340"</f>
        <v>2340</v>
      </c>
      <c r="E1159" s="1" t="s">
        <v>2003</v>
      </c>
      <c r="F1159" s="1" t="s">
        <v>2004</v>
      </c>
      <c r="G1159" s="3" t="s">
        <v>15</v>
      </c>
      <c r="H1159" s="3" t="str">
        <f>"1"</f>
        <v>1</v>
      </c>
      <c r="I1159" s="4" t="str">
        <f>"5000"</f>
        <v>5000</v>
      </c>
      <c r="J1159" s="2">
        <v>45884</v>
      </c>
      <c r="K1159" s="1" t="s">
        <v>2911</v>
      </c>
    </row>
    <row r="1160" spans="1:11" x14ac:dyDescent="0.35">
      <c r="A1160" s="3" t="s">
        <v>2720</v>
      </c>
      <c r="B1160" s="1" t="s">
        <v>2931</v>
      </c>
      <c r="C1160" s="1" t="s">
        <v>2936</v>
      </c>
      <c r="D1160" s="1" t="str">
        <f>"5855"</f>
        <v>5855</v>
      </c>
      <c r="E1160" s="1" t="str">
        <f>"015264703"</f>
        <v>015264703</v>
      </c>
      <c r="F1160" s="1" t="s">
        <v>1953</v>
      </c>
      <c r="G1160" s="3" t="s">
        <v>15</v>
      </c>
      <c r="H1160" s="3" t="str">
        <f>"1"</f>
        <v>1</v>
      </c>
      <c r="I1160" s="4">
        <v>10100.040000000001</v>
      </c>
      <c r="J1160" s="2">
        <v>45884</v>
      </c>
      <c r="K1160" s="1" t="s">
        <v>2937</v>
      </c>
    </row>
    <row r="1161" spans="1:11" x14ac:dyDescent="0.35">
      <c r="A1161" s="3" t="s">
        <v>2720</v>
      </c>
      <c r="B1161" s="1" t="s">
        <v>2897</v>
      </c>
      <c r="C1161" s="1" t="s">
        <v>2923</v>
      </c>
      <c r="D1161" s="1" t="str">
        <f>"6910"</f>
        <v>6910</v>
      </c>
      <c r="E1161" s="1" t="str">
        <f>"016584548"</f>
        <v>016584548</v>
      </c>
      <c r="F1161" s="1" t="s">
        <v>2924</v>
      </c>
      <c r="G1161" s="3" t="s">
        <v>15</v>
      </c>
      <c r="H1161" s="3" t="str">
        <f>"1"</f>
        <v>1</v>
      </c>
      <c r="I1161" s="4" t="str">
        <f>"6800"</f>
        <v>6800</v>
      </c>
      <c r="J1161" s="2">
        <v>45883</v>
      </c>
      <c r="K1161" s="1" t="s">
        <v>2925</v>
      </c>
    </row>
    <row r="1162" spans="1:11" x14ac:dyDescent="0.35">
      <c r="A1162" s="3" t="s">
        <v>2720</v>
      </c>
      <c r="B1162" s="1" t="s">
        <v>2828</v>
      </c>
      <c r="C1162" s="1" t="s">
        <v>2829</v>
      </c>
      <c r="D1162" s="1" t="str">
        <f>"2320"</f>
        <v>2320</v>
      </c>
      <c r="E1162" s="1" t="s">
        <v>321</v>
      </c>
      <c r="F1162" s="1" t="s">
        <v>322</v>
      </c>
      <c r="G1162" s="3" t="s">
        <v>15</v>
      </c>
      <c r="H1162" s="3" t="str">
        <f>"1"</f>
        <v>1</v>
      </c>
      <c r="I1162" s="4" t="str">
        <f>"24684"</f>
        <v>24684</v>
      </c>
      <c r="J1162" s="2">
        <v>45880</v>
      </c>
      <c r="K1162" s="1" t="s">
        <v>2830</v>
      </c>
    </row>
    <row r="1163" spans="1:11" x14ac:dyDescent="0.35">
      <c r="A1163" s="3" t="s">
        <v>2720</v>
      </c>
      <c r="B1163" s="1" t="s">
        <v>2828</v>
      </c>
      <c r="C1163" s="1" t="s">
        <v>2831</v>
      </c>
      <c r="D1163" s="1" t="str">
        <f>"2320"</f>
        <v>2320</v>
      </c>
      <c r="E1163" s="1" t="str">
        <f>"011233999"</f>
        <v>011233999</v>
      </c>
      <c r="F1163" s="1" t="s">
        <v>373</v>
      </c>
      <c r="G1163" s="3" t="s">
        <v>15</v>
      </c>
      <c r="H1163" s="3" t="str">
        <f>"1"</f>
        <v>1</v>
      </c>
      <c r="I1163" s="4" t="str">
        <f>"11561"</f>
        <v>11561</v>
      </c>
      <c r="J1163" s="2">
        <v>45880</v>
      </c>
      <c r="K1163" s="1" t="s">
        <v>2832</v>
      </c>
    </row>
    <row r="1164" spans="1:11" x14ac:dyDescent="0.35">
      <c r="A1164" s="3" t="s">
        <v>2720</v>
      </c>
      <c r="B1164" s="1" t="s">
        <v>2876</v>
      </c>
      <c r="C1164" s="1" t="s">
        <v>2877</v>
      </c>
      <c r="D1164" s="1" t="str">
        <f>"2330"</f>
        <v>2330</v>
      </c>
      <c r="E1164" s="1" t="s">
        <v>70</v>
      </c>
      <c r="F1164" s="1" t="s">
        <v>71</v>
      </c>
      <c r="G1164" s="3" t="s">
        <v>15</v>
      </c>
      <c r="H1164" s="3" t="str">
        <f>"1"</f>
        <v>1</v>
      </c>
      <c r="I1164" s="4" t="str">
        <f>"2400"</f>
        <v>2400</v>
      </c>
      <c r="J1164" s="2">
        <v>45867</v>
      </c>
      <c r="K1164" s="1" t="s">
        <v>2878</v>
      </c>
    </row>
    <row r="1165" spans="1:11" x14ac:dyDescent="0.35">
      <c r="A1165" s="3" t="s">
        <v>2720</v>
      </c>
      <c r="B1165" s="1" t="s">
        <v>2876</v>
      </c>
      <c r="C1165" s="1" t="s">
        <v>2885</v>
      </c>
      <c r="D1165" s="1" t="str">
        <f>"4140"</f>
        <v>4140</v>
      </c>
      <c r="E1165" s="1" t="s">
        <v>333</v>
      </c>
      <c r="F1165" s="1" t="s">
        <v>334</v>
      </c>
      <c r="G1165" s="3" t="s">
        <v>15</v>
      </c>
      <c r="H1165" s="3" t="str">
        <f>"1"</f>
        <v>1</v>
      </c>
      <c r="I1165" s="4" t="str">
        <f>"500"</f>
        <v>500</v>
      </c>
      <c r="J1165" s="2">
        <v>45867</v>
      </c>
      <c r="K1165" s="1" t="s">
        <v>2886</v>
      </c>
    </row>
    <row r="1166" spans="1:11" x14ac:dyDescent="0.35">
      <c r="A1166" s="3" t="s">
        <v>2720</v>
      </c>
      <c r="B1166" s="1" t="s">
        <v>2897</v>
      </c>
      <c r="C1166" s="1" t="s">
        <v>2916</v>
      </c>
      <c r="D1166" s="1" t="str">
        <f>"3930"</f>
        <v>3930</v>
      </c>
      <c r="E1166" s="1" t="s">
        <v>1706</v>
      </c>
      <c r="F1166" s="1" t="s">
        <v>1707</v>
      </c>
      <c r="G1166" s="3" t="s">
        <v>15</v>
      </c>
      <c r="H1166" s="3" t="str">
        <f>"1"</f>
        <v>1</v>
      </c>
      <c r="I1166" s="4" t="str">
        <f>"60000"</f>
        <v>60000</v>
      </c>
      <c r="J1166" s="2">
        <v>45862</v>
      </c>
      <c r="K1166" s="1" t="s">
        <v>4313</v>
      </c>
    </row>
    <row r="1167" spans="1:11" x14ac:dyDescent="0.35">
      <c r="A1167" s="3" t="s">
        <v>2720</v>
      </c>
      <c r="B1167" s="1" t="s">
        <v>2975</v>
      </c>
      <c r="C1167" s="1" t="s">
        <v>2976</v>
      </c>
      <c r="D1167" s="1" t="str">
        <f>"2340"</f>
        <v>2340</v>
      </c>
      <c r="E1167" s="1" t="s">
        <v>694</v>
      </c>
      <c r="F1167" s="1" t="s">
        <v>695</v>
      </c>
      <c r="G1167" s="3" t="s">
        <v>15</v>
      </c>
      <c r="H1167" s="3" t="str">
        <f>"1"</f>
        <v>1</v>
      </c>
      <c r="I1167" s="4" t="str">
        <f>"2495"</f>
        <v>2495</v>
      </c>
      <c r="J1167" s="2">
        <v>45862</v>
      </c>
      <c r="K1167" s="1" t="s">
        <v>2977</v>
      </c>
    </row>
    <row r="1168" spans="1:11" x14ac:dyDescent="0.35">
      <c r="A1168" s="3" t="s">
        <v>2720</v>
      </c>
      <c r="B1168" s="1" t="s">
        <v>2978</v>
      </c>
      <c r="C1168" s="1" t="s">
        <v>2981</v>
      </c>
      <c r="D1168" s="1" t="str">
        <f>"2330"</f>
        <v>2330</v>
      </c>
      <c r="E1168" s="1" t="s">
        <v>70</v>
      </c>
      <c r="F1168" s="1" t="s">
        <v>71</v>
      </c>
      <c r="G1168" s="3" t="s">
        <v>15</v>
      </c>
      <c r="H1168" s="3" t="str">
        <f>"1"</f>
        <v>1</v>
      </c>
      <c r="I1168" s="4" t="str">
        <f>"2990"</f>
        <v>2990</v>
      </c>
      <c r="J1168" s="2">
        <v>45856</v>
      </c>
      <c r="K1168" s="1" t="s">
        <v>2982</v>
      </c>
    </row>
    <row r="1169" spans="1:11" x14ac:dyDescent="0.35">
      <c r="A1169" s="3" t="s">
        <v>2720</v>
      </c>
      <c r="B1169" s="1" t="s">
        <v>2828</v>
      </c>
      <c r="C1169" s="1" t="s">
        <v>2833</v>
      </c>
      <c r="D1169" s="1" t="str">
        <f>"6230"</f>
        <v>6230</v>
      </c>
      <c r="E1169" s="1" t="str">
        <f>"015838443"</f>
        <v>015838443</v>
      </c>
      <c r="F1169" s="1" t="s">
        <v>2834</v>
      </c>
      <c r="G1169" s="3" t="s">
        <v>15</v>
      </c>
      <c r="H1169" s="3" t="str">
        <f>"2"</f>
        <v>2</v>
      </c>
      <c r="I1169" s="4">
        <v>2986.15</v>
      </c>
      <c r="J1169" s="2">
        <v>45853</v>
      </c>
      <c r="K1169" s="1" t="s">
        <v>2835</v>
      </c>
    </row>
    <row r="1170" spans="1:11" x14ac:dyDescent="0.35">
      <c r="A1170" s="3" t="s">
        <v>2720</v>
      </c>
      <c r="B1170" s="1" t="s">
        <v>2828</v>
      </c>
      <c r="C1170" s="1" t="s">
        <v>2836</v>
      </c>
      <c r="D1170" s="1" t="str">
        <f>"6230"</f>
        <v>6230</v>
      </c>
      <c r="E1170" s="1" t="s">
        <v>178</v>
      </c>
      <c r="F1170" s="1" t="s">
        <v>179</v>
      </c>
      <c r="G1170" s="3" t="s">
        <v>15</v>
      </c>
      <c r="H1170" s="3" t="str">
        <f>"30"</f>
        <v>30</v>
      </c>
      <c r="I1170" s="4">
        <v>22.73</v>
      </c>
      <c r="J1170" s="2">
        <v>45853</v>
      </c>
      <c r="K1170" s="1" t="s">
        <v>2837</v>
      </c>
    </row>
    <row r="1171" spans="1:11" x14ac:dyDescent="0.35">
      <c r="A1171" s="3" t="s">
        <v>2720</v>
      </c>
      <c r="B1171" s="1" t="s">
        <v>2978</v>
      </c>
      <c r="C1171" s="1" t="s">
        <v>2979</v>
      </c>
      <c r="D1171" s="1" t="str">
        <f>"2320"</f>
        <v>2320</v>
      </c>
      <c r="E1171" s="1" t="str">
        <f>"013808604"</f>
        <v>013808604</v>
      </c>
      <c r="F1171" s="1" t="s">
        <v>604</v>
      </c>
      <c r="G1171" s="3" t="s">
        <v>15</v>
      </c>
      <c r="H1171" s="3" t="str">
        <f>"1"</f>
        <v>1</v>
      </c>
      <c r="I1171" s="4" t="str">
        <f>"89900"</f>
        <v>89900</v>
      </c>
      <c r="J1171" s="2">
        <v>45853</v>
      </c>
      <c r="K1171" s="1" t="s">
        <v>2980</v>
      </c>
    </row>
    <row r="1172" spans="1:11" x14ac:dyDescent="0.35">
      <c r="A1172" s="3" t="s">
        <v>2720</v>
      </c>
      <c r="B1172" s="1" t="s">
        <v>2732</v>
      </c>
      <c r="C1172" s="1" t="s">
        <v>2733</v>
      </c>
      <c r="D1172" s="1" t="str">
        <f>"1385"</f>
        <v>1385</v>
      </c>
      <c r="E1172" s="1" t="str">
        <f>"016273659"</f>
        <v>016273659</v>
      </c>
      <c r="F1172" s="1" t="s">
        <v>14</v>
      </c>
      <c r="G1172" s="3" t="s">
        <v>15</v>
      </c>
      <c r="H1172" s="3" t="str">
        <f>"1"</f>
        <v>1</v>
      </c>
      <c r="I1172" s="4" t="str">
        <f>"53375"</f>
        <v>53375</v>
      </c>
      <c r="J1172" s="2">
        <v>45852</v>
      </c>
      <c r="K1172" s="1" t="s">
        <v>2734</v>
      </c>
    </row>
    <row r="1173" spans="1:11" x14ac:dyDescent="0.35">
      <c r="A1173" s="3" t="s">
        <v>2720</v>
      </c>
      <c r="B1173" s="1" t="s">
        <v>2732</v>
      </c>
      <c r="C1173" s="1" t="s">
        <v>2735</v>
      </c>
      <c r="D1173" s="1" t="str">
        <f>"1385"</f>
        <v>1385</v>
      </c>
      <c r="E1173" s="1" t="str">
        <f>"016273659"</f>
        <v>016273659</v>
      </c>
      <c r="F1173" s="1" t="s">
        <v>14</v>
      </c>
      <c r="G1173" s="3" t="s">
        <v>15</v>
      </c>
      <c r="H1173" s="3" t="str">
        <f>"1"</f>
        <v>1</v>
      </c>
      <c r="I1173" s="4" t="str">
        <f>"53375"</f>
        <v>53375</v>
      </c>
      <c r="J1173" s="2">
        <v>45852</v>
      </c>
      <c r="K1173" s="1" t="s">
        <v>2734</v>
      </c>
    </row>
    <row r="1174" spans="1:11" x14ac:dyDescent="0.35">
      <c r="A1174" s="3" t="s">
        <v>2720</v>
      </c>
      <c r="B1174" s="1" t="s">
        <v>2732</v>
      </c>
      <c r="C1174" s="1" t="s">
        <v>2736</v>
      </c>
      <c r="D1174" s="1" t="str">
        <f>"1385"</f>
        <v>1385</v>
      </c>
      <c r="E1174" s="1" t="str">
        <f>"016273659"</f>
        <v>016273659</v>
      </c>
      <c r="F1174" s="1" t="s">
        <v>14</v>
      </c>
      <c r="G1174" s="3" t="s">
        <v>15</v>
      </c>
      <c r="H1174" s="3" t="str">
        <f>"1"</f>
        <v>1</v>
      </c>
      <c r="I1174" s="4" t="str">
        <f>"53375"</f>
        <v>53375</v>
      </c>
      <c r="J1174" s="2">
        <v>45852</v>
      </c>
      <c r="K1174" s="1" t="s">
        <v>2734</v>
      </c>
    </row>
    <row r="1175" spans="1:11" x14ac:dyDescent="0.35">
      <c r="A1175" s="3" t="s">
        <v>2720</v>
      </c>
      <c r="B1175" s="1" t="s">
        <v>2732</v>
      </c>
      <c r="C1175" s="1" t="s">
        <v>2737</v>
      </c>
      <c r="D1175" s="1" t="str">
        <f>"1385"</f>
        <v>1385</v>
      </c>
      <c r="E1175" s="1" t="str">
        <f>"016273659"</f>
        <v>016273659</v>
      </c>
      <c r="F1175" s="1" t="s">
        <v>14</v>
      </c>
      <c r="G1175" s="3" t="s">
        <v>15</v>
      </c>
      <c r="H1175" s="3" t="str">
        <f>"1"</f>
        <v>1</v>
      </c>
      <c r="I1175" s="4" t="str">
        <f>"53375"</f>
        <v>53375</v>
      </c>
      <c r="J1175" s="2">
        <v>45852</v>
      </c>
      <c r="K1175" s="1" t="s">
        <v>2734</v>
      </c>
    </row>
    <row r="1176" spans="1:11" x14ac:dyDescent="0.35">
      <c r="A1176" s="3" t="s">
        <v>2720</v>
      </c>
      <c r="B1176" s="1" t="s">
        <v>2897</v>
      </c>
      <c r="C1176" s="1" t="s">
        <v>2906</v>
      </c>
      <c r="D1176" s="1" t="str">
        <f>"2320"</f>
        <v>2320</v>
      </c>
      <c r="E1176" s="1" t="str">
        <f>"002711432"</f>
        <v>002711432</v>
      </c>
      <c r="F1176" s="1" t="s">
        <v>1820</v>
      </c>
      <c r="G1176" s="3" t="s">
        <v>15</v>
      </c>
      <c r="H1176" s="3" t="str">
        <f>"1"</f>
        <v>1</v>
      </c>
      <c r="I1176" s="4" t="str">
        <f>"116776"</f>
        <v>116776</v>
      </c>
      <c r="J1176" s="2">
        <v>45852</v>
      </c>
      <c r="K1176" s="1" t="s">
        <v>2907</v>
      </c>
    </row>
    <row r="1177" spans="1:11" x14ac:dyDescent="0.35">
      <c r="A1177" s="3" t="s">
        <v>2720</v>
      </c>
      <c r="B1177" s="1" t="s">
        <v>2897</v>
      </c>
      <c r="C1177" s="1" t="s">
        <v>2912</v>
      </c>
      <c r="D1177" s="1" t="str">
        <f>"3805"</f>
        <v>3805</v>
      </c>
      <c r="E1177" s="1" t="s">
        <v>2913</v>
      </c>
      <c r="F1177" s="1" t="s">
        <v>2914</v>
      </c>
      <c r="G1177" s="3" t="s">
        <v>15</v>
      </c>
      <c r="H1177" s="3" t="str">
        <f>"1"</f>
        <v>1</v>
      </c>
      <c r="I1177" s="4" t="str">
        <f>"17000"</f>
        <v>17000</v>
      </c>
      <c r="J1177" s="2">
        <v>45846</v>
      </c>
      <c r="K1177" s="1" t="s">
        <v>2915</v>
      </c>
    </row>
    <row r="1178" spans="1:11" x14ac:dyDescent="0.35">
      <c r="A1178" s="3" t="s">
        <v>2720</v>
      </c>
      <c r="B1178" s="1" t="s">
        <v>2770</v>
      </c>
      <c r="C1178" s="1" t="s">
        <v>2771</v>
      </c>
      <c r="D1178" s="1" t="str">
        <f>"2320"</f>
        <v>2320</v>
      </c>
      <c r="E1178" s="1" t="str">
        <f>"007529289"</f>
        <v>007529289</v>
      </c>
      <c r="F1178" s="1" t="s">
        <v>373</v>
      </c>
      <c r="G1178" s="3" t="s">
        <v>15</v>
      </c>
      <c r="H1178" s="3" t="str">
        <f>"1"</f>
        <v>1</v>
      </c>
      <c r="I1178" s="4" t="str">
        <f>"4202"</f>
        <v>4202</v>
      </c>
      <c r="J1178" s="2">
        <v>45841</v>
      </c>
      <c r="K1178" s="1" t="s">
        <v>2772</v>
      </c>
    </row>
    <row r="1179" spans="1:11" x14ac:dyDescent="0.35">
      <c r="A1179" s="3" t="s">
        <v>2720</v>
      </c>
      <c r="B1179" s="1" t="s">
        <v>2779</v>
      </c>
      <c r="C1179" s="1" t="s">
        <v>2780</v>
      </c>
      <c r="D1179" s="1" t="str">
        <f>"1095"</f>
        <v>1095</v>
      </c>
      <c r="E1179" s="1" t="str">
        <f>"015507105"</f>
        <v>015507105</v>
      </c>
      <c r="F1179" s="1" t="s">
        <v>2781</v>
      </c>
      <c r="G1179" s="3" t="s">
        <v>15</v>
      </c>
      <c r="H1179" s="3" t="str">
        <f>"3"</f>
        <v>3</v>
      </c>
      <c r="I1179" s="4">
        <v>1270.08</v>
      </c>
      <c r="J1179" s="2">
        <v>45841</v>
      </c>
      <c r="K1179" s="1" t="s">
        <v>2782</v>
      </c>
    </row>
    <row r="1180" spans="1:11" x14ac:dyDescent="0.35">
      <c r="A1180" s="3" t="s">
        <v>2720</v>
      </c>
      <c r="B1180" s="1" t="s">
        <v>2779</v>
      </c>
      <c r="C1180" s="1" t="s">
        <v>2787</v>
      </c>
      <c r="D1180" s="1" t="str">
        <f>"6230"</f>
        <v>6230</v>
      </c>
      <c r="E1180" s="1" t="s">
        <v>178</v>
      </c>
      <c r="F1180" s="1" t="s">
        <v>179</v>
      </c>
      <c r="G1180" s="3" t="s">
        <v>15</v>
      </c>
      <c r="H1180" s="3" t="str">
        <f>"3"</f>
        <v>3</v>
      </c>
      <c r="I1180" s="4" t="str">
        <f>"115"</f>
        <v>115</v>
      </c>
      <c r="J1180" s="2">
        <v>45841</v>
      </c>
      <c r="K1180" s="1" t="s">
        <v>2788</v>
      </c>
    </row>
    <row r="1181" spans="1:11" x14ac:dyDescent="0.35">
      <c r="A1181" s="3" t="s">
        <v>2720</v>
      </c>
      <c r="B1181" s="1" t="s">
        <v>2779</v>
      </c>
      <c r="C1181" s="1" t="s">
        <v>2806</v>
      </c>
      <c r="D1181" s="1" t="str">
        <f>"8115"</f>
        <v>8115</v>
      </c>
      <c r="E1181" s="1" t="s">
        <v>1422</v>
      </c>
      <c r="F1181" s="1" t="s">
        <v>1423</v>
      </c>
      <c r="G1181" s="3" t="s">
        <v>15</v>
      </c>
      <c r="H1181" s="3" t="str">
        <f>"6"</f>
        <v>6</v>
      </c>
      <c r="I1181" s="4">
        <v>495.11</v>
      </c>
      <c r="J1181" s="2">
        <v>45841</v>
      </c>
      <c r="K1181" s="1" t="s">
        <v>2807</v>
      </c>
    </row>
    <row r="1182" spans="1:11" x14ac:dyDescent="0.35">
      <c r="A1182" s="3" t="s">
        <v>2720</v>
      </c>
      <c r="B1182" s="1" t="s">
        <v>2897</v>
      </c>
      <c r="C1182" s="1" t="s">
        <v>2921</v>
      </c>
      <c r="D1182" s="1" t="str">
        <f>"6310"</f>
        <v>6310</v>
      </c>
      <c r="E1182" s="1" t="s">
        <v>1860</v>
      </c>
      <c r="F1182" s="1" t="s">
        <v>1861</v>
      </c>
      <c r="G1182" s="3" t="s">
        <v>15</v>
      </c>
      <c r="H1182" s="3" t="str">
        <f>"3"</f>
        <v>3</v>
      </c>
      <c r="I1182" s="4">
        <v>4994.18</v>
      </c>
      <c r="J1182" s="2">
        <v>45840</v>
      </c>
      <c r="K1182" s="1" t="s">
        <v>2922</v>
      </c>
    </row>
    <row r="1183" spans="1:11" x14ac:dyDescent="0.35">
      <c r="A1183" s="3" t="s">
        <v>2983</v>
      </c>
      <c r="B1183" s="1" t="s">
        <v>2984</v>
      </c>
      <c r="C1183" s="1" t="s">
        <v>2985</v>
      </c>
      <c r="D1183" s="1" t="str">
        <f>"5855"</f>
        <v>5855</v>
      </c>
      <c r="E1183" s="1" t="str">
        <f>"015665301"</f>
        <v>015665301</v>
      </c>
      <c r="F1183" s="1" t="s">
        <v>1904</v>
      </c>
      <c r="G1183" s="3" t="s">
        <v>15</v>
      </c>
      <c r="H1183" s="3" t="str">
        <f>"20"</f>
        <v>20</v>
      </c>
      <c r="I1183" s="4">
        <v>445.26</v>
      </c>
      <c r="J1183" s="2">
        <v>45840</v>
      </c>
      <c r="K1183" s="1" t="s">
        <v>2986</v>
      </c>
    </row>
    <row r="1184" spans="1:11" x14ac:dyDescent="0.35">
      <c r="A1184" s="3" t="s">
        <v>2987</v>
      </c>
      <c r="B1184" s="1" t="s">
        <v>3005</v>
      </c>
      <c r="C1184" s="1" t="s">
        <v>3012</v>
      </c>
      <c r="D1184" s="1" t="str">
        <f>"5305"</f>
        <v>5305</v>
      </c>
      <c r="E1184" s="1" t="str">
        <f>"010929898"</f>
        <v>010929898</v>
      </c>
      <c r="F1184" s="1" t="s">
        <v>3013</v>
      </c>
      <c r="G1184" s="3" t="s">
        <v>1084</v>
      </c>
      <c r="H1184" s="3" t="str">
        <f>"2000"</f>
        <v>2000</v>
      </c>
      <c r="I1184" s="4">
        <v>2.2799999999999998</v>
      </c>
      <c r="J1184" s="2">
        <v>45927</v>
      </c>
      <c r="K1184" s="1" t="s">
        <v>3014</v>
      </c>
    </row>
    <row r="1185" spans="1:11" x14ac:dyDescent="0.35">
      <c r="A1185" s="3" t="s">
        <v>2987</v>
      </c>
      <c r="B1185" s="1" t="s">
        <v>3002</v>
      </c>
      <c r="C1185" s="1" t="s">
        <v>3003</v>
      </c>
      <c r="D1185" s="1" t="str">
        <f>"2320"</f>
        <v>2320</v>
      </c>
      <c r="E1185" s="1" t="str">
        <f>"015402017"</f>
        <v>015402017</v>
      </c>
      <c r="F1185" s="1" t="s">
        <v>604</v>
      </c>
      <c r="G1185" s="3" t="s">
        <v>15</v>
      </c>
      <c r="H1185" s="3" t="str">
        <f>"1"</f>
        <v>1</v>
      </c>
      <c r="I1185" s="4" t="str">
        <f>"204469"</f>
        <v>204469</v>
      </c>
      <c r="J1185" s="2">
        <v>45926</v>
      </c>
      <c r="K1185" s="1" t="s">
        <v>3004</v>
      </c>
    </row>
    <row r="1186" spans="1:11" x14ac:dyDescent="0.35">
      <c r="A1186" s="3" t="s">
        <v>2987</v>
      </c>
      <c r="B1186" s="1" t="s">
        <v>3005</v>
      </c>
      <c r="C1186" s="1" t="s">
        <v>3006</v>
      </c>
      <c r="D1186" s="1" t="str">
        <f>"4240"</f>
        <v>4240</v>
      </c>
      <c r="E1186" s="1" t="str">
        <f>"014698738"</f>
        <v>014698738</v>
      </c>
      <c r="F1186" s="1" t="s">
        <v>3007</v>
      </c>
      <c r="G1186" s="3" t="s">
        <v>15</v>
      </c>
      <c r="H1186" s="3" t="str">
        <f>"8"</f>
        <v>8</v>
      </c>
      <c r="I1186" s="4">
        <v>23.33</v>
      </c>
      <c r="J1186" s="2">
        <v>45920</v>
      </c>
      <c r="K1186" s="1" t="s">
        <v>3008</v>
      </c>
    </row>
    <row r="1187" spans="1:11" x14ac:dyDescent="0.35">
      <c r="A1187" s="3" t="s">
        <v>2987</v>
      </c>
      <c r="B1187" s="1" t="s">
        <v>3005</v>
      </c>
      <c r="C1187" s="1" t="s">
        <v>3009</v>
      </c>
      <c r="D1187" s="1" t="str">
        <f>"4240"</f>
        <v>4240</v>
      </c>
      <c r="E1187" s="1" t="str">
        <f>"000222946"</f>
        <v>000222946</v>
      </c>
      <c r="F1187" s="1" t="s">
        <v>3010</v>
      </c>
      <c r="G1187" s="3" t="s">
        <v>15</v>
      </c>
      <c r="H1187" s="3" t="str">
        <f>"3"</f>
        <v>3</v>
      </c>
      <c r="I1187" s="4">
        <v>9.34</v>
      </c>
      <c r="J1187" s="2">
        <v>45920</v>
      </c>
      <c r="K1187" s="1" t="s">
        <v>3011</v>
      </c>
    </row>
    <row r="1188" spans="1:11" x14ac:dyDescent="0.35">
      <c r="A1188" s="3" t="s">
        <v>2987</v>
      </c>
      <c r="B1188" s="1" t="s">
        <v>3005</v>
      </c>
      <c r="C1188" s="1" t="s">
        <v>3015</v>
      </c>
      <c r="D1188" s="1" t="str">
        <f>"8405"</f>
        <v>8405</v>
      </c>
      <c r="E1188" s="1" t="str">
        <f>"015472559"</f>
        <v>015472559</v>
      </c>
      <c r="F1188" s="1" t="s">
        <v>964</v>
      </c>
      <c r="G1188" s="3" t="s">
        <v>15</v>
      </c>
      <c r="H1188" s="3" t="str">
        <f>"11"</f>
        <v>11</v>
      </c>
      <c r="I1188" s="4">
        <v>39.92</v>
      </c>
      <c r="J1188" s="2">
        <v>45920</v>
      </c>
      <c r="K1188" s="1" t="s">
        <v>3016</v>
      </c>
    </row>
    <row r="1189" spans="1:11" x14ac:dyDescent="0.35">
      <c r="A1189" s="3" t="s">
        <v>2987</v>
      </c>
      <c r="B1189" s="1" t="s">
        <v>3005</v>
      </c>
      <c r="C1189" s="1" t="s">
        <v>3017</v>
      </c>
      <c r="D1189" s="1" t="str">
        <f>"8405"</f>
        <v>8405</v>
      </c>
      <c r="E1189" s="1" t="str">
        <f>"014439488"</f>
        <v>014439488</v>
      </c>
      <c r="F1189" s="1" t="s">
        <v>970</v>
      </c>
      <c r="G1189" s="3" t="s">
        <v>847</v>
      </c>
      <c r="H1189" s="3" t="str">
        <f>"1"</f>
        <v>1</v>
      </c>
      <c r="I1189" s="4">
        <v>55.81</v>
      </c>
      <c r="J1189" s="2">
        <v>45920</v>
      </c>
      <c r="K1189" s="1" t="s">
        <v>3016</v>
      </c>
    </row>
    <row r="1190" spans="1:11" x14ac:dyDescent="0.35">
      <c r="A1190" s="3" t="s">
        <v>2987</v>
      </c>
      <c r="B1190" s="1" t="s">
        <v>3005</v>
      </c>
      <c r="C1190" s="1" t="s">
        <v>3018</v>
      </c>
      <c r="D1190" s="1" t="str">
        <f>"8405"</f>
        <v>8405</v>
      </c>
      <c r="E1190" s="1" t="str">
        <f>"014439449"</f>
        <v>014439449</v>
      </c>
      <c r="F1190" s="1" t="s">
        <v>970</v>
      </c>
      <c r="G1190" s="3" t="s">
        <v>847</v>
      </c>
      <c r="H1190" s="3" t="str">
        <f>"1"</f>
        <v>1</v>
      </c>
      <c r="I1190" s="4">
        <v>55.81</v>
      </c>
      <c r="J1190" s="2">
        <v>45920</v>
      </c>
      <c r="K1190" s="1" t="s">
        <v>3016</v>
      </c>
    </row>
    <row r="1191" spans="1:11" x14ac:dyDescent="0.35">
      <c r="A1191" s="3" t="s">
        <v>2987</v>
      </c>
      <c r="B1191" s="1" t="s">
        <v>3005</v>
      </c>
      <c r="C1191" s="1" t="s">
        <v>3019</v>
      </c>
      <c r="D1191" s="1" t="str">
        <f>"8415"</f>
        <v>8415</v>
      </c>
      <c r="E1191" s="1" t="str">
        <f>"015386773"</f>
        <v>015386773</v>
      </c>
      <c r="F1191" s="1" t="s">
        <v>3020</v>
      </c>
      <c r="G1191" s="3" t="s">
        <v>15</v>
      </c>
      <c r="H1191" s="3" t="str">
        <f>"2"</f>
        <v>2</v>
      </c>
      <c r="I1191" s="4">
        <v>97.03</v>
      </c>
      <c r="J1191" s="2">
        <v>45920</v>
      </c>
      <c r="K1191" s="1" t="s">
        <v>3021</v>
      </c>
    </row>
    <row r="1192" spans="1:11" x14ac:dyDescent="0.35">
      <c r="A1192" s="3" t="s">
        <v>2987</v>
      </c>
      <c r="B1192" s="1" t="s">
        <v>3005</v>
      </c>
      <c r="C1192" s="1" t="s">
        <v>3022</v>
      </c>
      <c r="D1192" s="1" t="str">
        <f>"8415"</f>
        <v>8415</v>
      </c>
      <c r="E1192" s="1" t="str">
        <f>"015386677"</f>
        <v>015386677</v>
      </c>
      <c r="F1192" s="1" t="s">
        <v>970</v>
      </c>
      <c r="G1192" s="3" t="s">
        <v>15</v>
      </c>
      <c r="H1192" s="3" t="str">
        <f>"3"</f>
        <v>3</v>
      </c>
      <c r="I1192" s="4">
        <v>97.17</v>
      </c>
      <c r="J1192" s="2">
        <v>45920</v>
      </c>
      <c r="K1192" s="1" t="s">
        <v>3023</v>
      </c>
    </row>
    <row r="1193" spans="1:11" x14ac:dyDescent="0.35">
      <c r="A1193" s="3" t="s">
        <v>2987</v>
      </c>
      <c r="B1193" s="1" t="s">
        <v>3005</v>
      </c>
      <c r="C1193" s="1" t="s">
        <v>3024</v>
      </c>
      <c r="D1193" s="1" t="str">
        <f>"8415"</f>
        <v>8415</v>
      </c>
      <c r="E1193" s="1" t="str">
        <f>"012281321"</f>
        <v>012281321</v>
      </c>
      <c r="F1193" s="1" t="s">
        <v>1966</v>
      </c>
      <c r="G1193" s="3" t="s">
        <v>15</v>
      </c>
      <c r="H1193" s="3" t="str">
        <f>"1"</f>
        <v>1</v>
      </c>
      <c r="I1193" s="4">
        <v>157.06</v>
      </c>
      <c r="J1193" s="2">
        <v>45920</v>
      </c>
      <c r="K1193" s="1" t="s">
        <v>3021</v>
      </c>
    </row>
    <row r="1194" spans="1:11" x14ac:dyDescent="0.35">
      <c r="A1194" s="3" t="s">
        <v>2987</v>
      </c>
      <c r="B1194" s="1" t="s">
        <v>3005</v>
      </c>
      <c r="C1194" s="1" t="s">
        <v>3025</v>
      </c>
      <c r="D1194" s="1" t="str">
        <f>"8415"</f>
        <v>8415</v>
      </c>
      <c r="E1194" s="1" t="str">
        <f>"015386300"</f>
        <v>015386300</v>
      </c>
      <c r="F1194" s="1" t="s">
        <v>973</v>
      </c>
      <c r="G1194" s="3" t="s">
        <v>15</v>
      </c>
      <c r="H1194" s="3" t="str">
        <f>"2"</f>
        <v>2</v>
      </c>
      <c r="I1194" s="4">
        <v>143.46</v>
      </c>
      <c r="J1194" s="2">
        <v>45920</v>
      </c>
      <c r="K1194" s="1" t="s">
        <v>3021</v>
      </c>
    </row>
    <row r="1195" spans="1:11" x14ac:dyDescent="0.35">
      <c r="A1195" s="3" t="s">
        <v>2987</v>
      </c>
      <c r="B1195" s="1" t="s">
        <v>3005</v>
      </c>
      <c r="C1195" s="1" t="s">
        <v>3026</v>
      </c>
      <c r="D1195" s="1" t="str">
        <f>"8415"</f>
        <v>8415</v>
      </c>
      <c r="E1195" s="1" t="str">
        <f>"014618337"</f>
        <v>014618337</v>
      </c>
      <c r="F1195" s="1" t="s">
        <v>841</v>
      </c>
      <c r="G1195" s="3" t="s">
        <v>15</v>
      </c>
      <c r="H1195" s="3" t="str">
        <f>"1"</f>
        <v>1</v>
      </c>
      <c r="I1195" s="4">
        <v>60.87</v>
      </c>
      <c r="J1195" s="2">
        <v>45920</v>
      </c>
      <c r="K1195" s="1" t="s">
        <v>3021</v>
      </c>
    </row>
    <row r="1196" spans="1:11" x14ac:dyDescent="0.35">
      <c r="A1196" s="3" t="s">
        <v>2987</v>
      </c>
      <c r="B1196" s="1" t="s">
        <v>3005</v>
      </c>
      <c r="C1196" s="1" t="s">
        <v>3027</v>
      </c>
      <c r="D1196" s="1" t="str">
        <f>"8415"</f>
        <v>8415</v>
      </c>
      <c r="E1196" s="1" t="str">
        <f>"015386677"</f>
        <v>015386677</v>
      </c>
      <c r="F1196" s="1" t="s">
        <v>970</v>
      </c>
      <c r="G1196" s="3" t="s">
        <v>15</v>
      </c>
      <c r="H1196" s="3" t="str">
        <f>"9"</f>
        <v>9</v>
      </c>
      <c r="I1196" s="4">
        <v>97.17</v>
      </c>
      <c r="J1196" s="2">
        <v>45920</v>
      </c>
      <c r="K1196" s="1" t="s">
        <v>3028</v>
      </c>
    </row>
    <row r="1197" spans="1:11" x14ac:dyDescent="0.35">
      <c r="A1197" s="3" t="s">
        <v>2987</v>
      </c>
      <c r="B1197" s="1" t="s">
        <v>3005</v>
      </c>
      <c r="C1197" s="1" t="s">
        <v>3029</v>
      </c>
      <c r="D1197" s="1" t="str">
        <f>"8415"</f>
        <v>8415</v>
      </c>
      <c r="E1197" s="1" t="str">
        <f>"015387012"</f>
        <v>015387012</v>
      </c>
      <c r="F1197" s="1" t="s">
        <v>2476</v>
      </c>
      <c r="G1197" s="3" t="s">
        <v>15</v>
      </c>
      <c r="H1197" s="3" t="str">
        <f>"10"</f>
        <v>10</v>
      </c>
      <c r="I1197" s="4">
        <v>115.68</v>
      </c>
      <c r="J1197" s="2">
        <v>45920</v>
      </c>
      <c r="K1197" s="1" t="s">
        <v>3028</v>
      </c>
    </row>
    <row r="1198" spans="1:11" x14ac:dyDescent="0.35">
      <c r="A1198" s="3" t="s">
        <v>2987</v>
      </c>
      <c r="B1198" s="1" t="s">
        <v>3005</v>
      </c>
      <c r="C1198" s="1" t="s">
        <v>3030</v>
      </c>
      <c r="D1198" s="1" t="str">
        <f>"8415"</f>
        <v>8415</v>
      </c>
      <c r="E1198" s="1" t="str">
        <f>"015801355"</f>
        <v>015801355</v>
      </c>
      <c r="F1198" s="1" t="s">
        <v>839</v>
      </c>
      <c r="G1198" s="3" t="s">
        <v>15</v>
      </c>
      <c r="H1198" s="3" t="str">
        <f>"8"</f>
        <v>8</v>
      </c>
      <c r="I1198" s="4">
        <v>81.66</v>
      </c>
      <c r="J1198" s="2">
        <v>45920</v>
      </c>
      <c r="K1198" s="1" t="s">
        <v>3021</v>
      </c>
    </row>
    <row r="1199" spans="1:11" x14ac:dyDescent="0.35">
      <c r="A1199" s="3" t="s">
        <v>2987</v>
      </c>
      <c r="B1199" s="1" t="s">
        <v>3005</v>
      </c>
      <c r="C1199" s="1" t="s">
        <v>3031</v>
      </c>
      <c r="D1199" s="1" t="str">
        <f>"8415"</f>
        <v>8415</v>
      </c>
      <c r="E1199" s="1" t="str">
        <f>"015386742"</f>
        <v>015386742</v>
      </c>
      <c r="F1199" s="1" t="s">
        <v>839</v>
      </c>
      <c r="G1199" s="3" t="s">
        <v>15</v>
      </c>
      <c r="H1199" s="3" t="str">
        <f>"5"</f>
        <v>5</v>
      </c>
      <c r="I1199" s="4">
        <v>66.42</v>
      </c>
      <c r="J1199" s="2">
        <v>45920</v>
      </c>
      <c r="K1199" s="1" t="s">
        <v>3021</v>
      </c>
    </row>
    <row r="1200" spans="1:11" x14ac:dyDescent="0.35">
      <c r="A1200" s="3" t="s">
        <v>2987</v>
      </c>
      <c r="B1200" s="1" t="s">
        <v>3005</v>
      </c>
      <c r="C1200" s="1" t="s">
        <v>3032</v>
      </c>
      <c r="D1200" s="1" t="str">
        <f>"8415"</f>
        <v>8415</v>
      </c>
      <c r="E1200" s="1" t="str">
        <f>"015386742"</f>
        <v>015386742</v>
      </c>
      <c r="F1200" s="1" t="s">
        <v>839</v>
      </c>
      <c r="G1200" s="3" t="s">
        <v>15</v>
      </c>
      <c r="H1200" s="3" t="str">
        <f>"16"</f>
        <v>16</v>
      </c>
      <c r="I1200" s="4">
        <v>66.42</v>
      </c>
      <c r="J1200" s="2">
        <v>45920</v>
      </c>
      <c r="K1200" s="1" t="s">
        <v>3021</v>
      </c>
    </row>
    <row r="1201" spans="1:11" x14ac:dyDescent="0.35">
      <c r="A1201" s="3" t="s">
        <v>2987</v>
      </c>
      <c r="B1201" s="1" t="s">
        <v>3005</v>
      </c>
      <c r="C1201" s="1" t="s">
        <v>3033</v>
      </c>
      <c r="D1201" s="1" t="str">
        <f>"8415"</f>
        <v>8415</v>
      </c>
      <c r="E1201" s="1" t="str">
        <f>"015269181"</f>
        <v>015269181</v>
      </c>
      <c r="F1201" s="1" t="s">
        <v>1966</v>
      </c>
      <c r="G1201" s="3" t="s">
        <v>15</v>
      </c>
      <c r="H1201" s="3" t="str">
        <f>"14"</f>
        <v>14</v>
      </c>
      <c r="I1201" s="4">
        <v>171.72</v>
      </c>
      <c r="J1201" s="2">
        <v>45920</v>
      </c>
      <c r="K1201" s="1" t="s">
        <v>3021</v>
      </c>
    </row>
    <row r="1202" spans="1:11" x14ac:dyDescent="0.35">
      <c r="A1202" s="3" t="s">
        <v>2987</v>
      </c>
      <c r="B1202" s="1" t="s">
        <v>3005</v>
      </c>
      <c r="C1202" s="1" t="s">
        <v>3034</v>
      </c>
      <c r="D1202" s="1" t="str">
        <f>"8415"</f>
        <v>8415</v>
      </c>
      <c r="E1202" s="1" t="str">
        <f>"015386704"</f>
        <v>015386704</v>
      </c>
      <c r="F1202" s="1" t="s">
        <v>2550</v>
      </c>
      <c r="G1202" s="3" t="s">
        <v>15</v>
      </c>
      <c r="H1202" s="3" t="str">
        <f>"6"</f>
        <v>6</v>
      </c>
      <c r="I1202" s="4">
        <v>128.25</v>
      </c>
      <c r="J1202" s="2">
        <v>45920</v>
      </c>
      <c r="K1202" s="1" t="s">
        <v>3021</v>
      </c>
    </row>
    <row r="1203" spans="1:11" x14ac:dyDescent="0.35">
      <c r="A1203" s="3" t="s">
        <v>2987</v>
      </c>
      <c r="B1203" s="1" t="s">
        <v>3005</v>
      </c>
      <c r="C1203" s="1" t="s">
        <v>3035</v>
      </c>
      <c r="D1203" s="1" t="str">
        <f>"8415"</f>
        <v>8415</v>
      </c>
      <c r="E1203" s="1" t="str">
        <f>"015467504"</f>
        <v>015467504</v>
      </c>
      <c r="F1203" s="1" t="s">
        <v>839</v>
      </c>
      <c r="G1203" s="3" t="s">
        <v>15</v>
      </c>
      <c r="H1203" s="3" t="str">
        <f>"3"</f>
        <v>3</v>
      </c>
      <c r="I1203" s="4">
        <v>66.42</v>
      </c>
      <c r="J1203" s="2">
        <v>45920</v>
      </c>
      <c r="K1203" s="1" t="s">
        <v>3021</v>
      </c>
    </row>
    <row r="1204" spans="1:11" x14ac:dyDescent="0.35">
      <c r="A1204" s="3" t="s">
        <v>2987</v>
      </c>
      <c r="B1204" s="1" t="s">
        <v>3005</v>
      </c>
      <c r="C1204" s="1" t="s">
        <v>3036</v>
      </c>
      <c r="D1204" s="1" t="str">
        <f>"8415"</f>
        <v>8415</v>
      </c>
      <c r="E1204" s="1" t="str">
        <f>"015386680"</f>
        <v>015386680</v>
      </c>
      <c r="F1204" s="1" t="s">
        <v>970</v>
      </c>
      <c r="G1204" s="3" t="s">
        <v>15</v>
      </c>
      <c r="H1204" s="3" t="str">
        <f>"24"</f>
        <v>24</v>
      </c>
      <c r="I1204" s="4">
        <v>97.17</v>
      </c>
      <c r="J1204" s="2">
        <v>45920</v>
      </c>
      <c r="K1204" s="1" t="s">
        <v>3028</v>
      </c>
    </row>
    <row r="1205" spans="1:11" x14ac:dyDescent="0.35">
      <c r="A1205" s="3" t="s">
        <v>2987</v>
      </c>
      <c r="B1205" s="1" t="s">
        <v>3005</v>
      </c>
      <c r="C1205" s="1" t="s">
        <v>3037</v>
      </c>
      <c r="D1205" s="1" t="str">
        <f>"8415"</f>
        <v>8415</v>
      </c>
      <c r="E1205" s="1" t="str">
        <f>"015271551"</f>
        <v>015271551</v>
      </c>
      <c r="F1205" s="1" t="s">
        <v>970</v>
      </c>
      <c r="G1205" s="3" t="s">
        <v>847</v>
      </c>
      <c r="H1205" s="3" t="str">
        <f>"24"</f>
        <v>24</v>
      </c>
      <c r="I1205" s="4">
        <v>56.2</v>
      </c>
      <c r="J1205" s="2">
        <v>45920</v>
      </c>
      <c r="K1205" s="1" t="s">
        <v>3016</v>
      </c>
    </row>
    <row r="1206" spans="1:11" x14ac:dyDescent="0.35">
      <c r="A1206" s="3" t="s">
        <v>2987</v>
      </c>
      <c r="B1206" s="1" t="s">
        <v>3005</v>
      </c>
      <c r="C1206" s="1" t="s">
        <v>3038</v>
      </c>
      <c r="D1206" s="1" t="str">
        <f>"8415"</f>
        <v>8415</v>
      </c>
      <c r="E1206" s="1" t="str">
        <f>"015466713"</f>
        <v>015466713</v>
      </c>
      <c r="F1206" s="1" t="s">
        <v>839</v>
      </c>
      <c r="G1206" s="3" t="s">
        <v>15</v>
      </c>
      <c r="H1206" s="3" t="str">
        <f>"2"</f>
        <v>2</v>
      </c>
      <c r="I1206" s="4">
        <v>66.42</v>
      </c>
      <c r="J1206" s="2">
        <v>45920</v>
      </c>
      <c r="K1206" s="1" t="s">
        <v>3021</v>
      </c>
    </row>
    <row r="1207" spans="1:11" x14ac:dyDescent="0.35">
      <c r="A1207" s="3" t="s">
        <v>2987</v>
      </c>
      <c r="B1207" s="1" t="s">
        <v>3005</v>
      </c>
      <c r="C1207" s="1" t="s">
        <v>3039</v>
      </c>
      <c r="D1207" s="1" t="str">
        <f>"8415"</f>
        <v>8415</v>
      </c>
      <c r="E1207" s="1" t="str">
        <f>"015271555"</f>
        <v>015271555</v>
      </c>
      <c r="F1207" s="1" t="s">
        <v>970</v>
      </c>
      <c r="G1207" s="3" t="s">
        <v>847</v>
      </c>
      <c r="H1207" s="3" t="str">
        <f>"12"</f>
        <v>12</v>
      </c>
      <c r="I1207" s="4">
        <v>56.2</v>
      </c>
      <c r="J1207" s="2">
        <v>45920</v>
      </c>
      <c r="K1207" s="1" t="s">
        <v>3016</v>
      </c>
    </row>
    <row r="1208" spans="1:11" x14ac:dyDescent="0.35">
      <c r="A1208" s="3" t="s">
        <v>2987</v>
      </c>
      <c r="B1208" s="1" t="s">
        <v>3005</v>
      </c>
      <c r="C1208" s="1" t="s">
        <v>3040</v>
      </c>
      <c r="D1208" s="1" t="str">
        <f>"8415"</f>
        <v>8415</v>
      </c>
      <c r="E1208" s="1" t="str">
        <f>"015386754"</f>
        <v>015386754</v>
      </c>
      <c r="F1208" s="1" t="s">
        <v>839</v>
      </c>
      <c r="G1208" s="3" t="s">
        <v>15</v>
      </c>
      <c r="H1208" s="3" t="str">
        <f>"8"</f>
        <v>8</v>
      </c>
      <c r="I1208" s="4">
        <v>66.42</v>
      </c>
      <c r="J1208" s="2">
        <v>45920</v>
      </c>
      <c r="K1208" s="1" t="s">
        <v>3021</v>
      </c>
    </row>
    <row r="1209" spans="1:11" x14ac:dyDescent="0.35">
      <c r="A1209" s="3" t="s">
        <v>2987</v>
      </c>
      <c r="B1209" s="1" t="s">
        <v>3005</v>
      </c>
      <c r="C1209" s="1" t="s">
        <v>3041</v>
      </c>
      <c r="D1209" s="1" t="str">
        <f>"8415"</f>
        <v>8415</v>
      </c>
      <c r="E1209" s="1" t="str">
        <f>"015386764"</f>
        <v>015386764</v>
      </c>
      <c r="F1209" s="1" t="s">
        <v>3020</v>
      </c>
      <c r="G1209" s="3" t="s">
        <v>15</v>
      </c>
      <c r="H1209" s="3" t="str">
        <f>"3"</f>
        <v>3</v>
      </c>
      <c r="I1209" s="4">
        <v>97.03</v>
      </c>
      <c r="J1209" s="2">
        <v>45920</v>
      </c>
      <c r="K1209" s="1" t="s">
        <v>3021</v>
      </c>
    </row>
    <row r="1210" spans="1:11" x14ac:dyDescent="0.35">
      <c r="A1210" s="3" t="s">
        <v>2987</v>
      </c>
      <c r="B1210" s="1" t="s">
        <v>3005</v>
      </c>
      <c r="C1210" s="1" t="s">
        <v>3042</v>
      </c>
      <c r="D1210" s="1" t="str">
        <f>"8415"</f>
        <v>8415</v>
      </c>
      <c r="E1210" s="1" t="str">
        <f>"015802977"</f>
        <v>015802977</v>
      </c>
      <c r="F1210" s="1" t="s">
        <v>3020</v>
      </c>
      <c r="G1210" s="3" t="s">
        <v>847</v>
      </c>
      <c r="H1210" s="3" t="str">
        <f>"1"</f>
        <v>1</v>
      </c>
      <c r="I1210" s="4">
        <v>117.8</v>
      </c>
      <c r="J1210" s="2">
        <v>45920</v>
      </c>
      <c r="K1210" s="1" t="s">
        <v>3021</v>
      </c>
    </row>
    <row r="1211" spans="1:11" x14ac:dyDescent="0.35">
      <c r="A1211" s="3" t="s">
        <v>2987</v>
      </c>
      <c r="B1211" s="1" t="s">
        <v>3005</v>
      </c>
      <c r="C1211" s="1" t="s">
        <v>3043</v>
      </c>
      <c r="D1211" s="1" t="str">
        <f>"8415"</f>
        <v>8415</v>
      </c>
      <c r="E1211" s="1" t="str">
        <f>"015801358"</f>
        <v>015801358</v>
      </c>
      <c r="F1211" s="1" t="s">
        <v>839</v>
      </c>
      <c r="G1211" s="3" t="s">
        <v>15</v>
      </c>
      <c r="H1211" s="3" t="str">
        <f>"4"</f>
        <v>4</v>
      </c>
      <c r="I1211" s="4">
        <v>81.66</v>
      </c>
      <c r="J1211" s="2">
        <v>45920</v>
      </c>
      <c r="K1211" s="1" t="s">
        <v>3021</v>
      </c>
    </row>
    <row r="1212" spans="1:11" x14ac:dyDescent="0.35">
      <c r="A1212" s="3" t="s">
        <v>2987</v>
      </c>
      <c r="B1212" s="1" t="s">
        <v>3005</v>
      </c>
      <c r="C1212" s="1" t="s">
        <v>3044</v>
      </c>
      <c r="D1212" s="1" t="str">
        <f>"8415"</f>
        <v>8415</v>
      </c>
      <c r="E1212" s="1" t="str">
        <f>"016210216"</f>
        <v>016210216</v>
      </c>
      <c r="F1212" s="1" t="s">
        <v>3045</v>
      </c>
      <c r="G1212" s="3" t="s">
        <v>15</v>
      </c>
      <c r="H1212" s="3" t="str">
        <f>"3"</f>
        <v>3</v>
      </c>
      <c r="I1212" s="4">
        <v>129.58000000000001</v>
      </c>
      <c r="J1212" s="2">
        <v>45920</v>
      </c>
      <c r="K1212" s="1" t="s">
        <v>3021</v>
      </c>
    </row>
    <row r="1213" spans="1:11" x14ac:dyDescent="0.35">
      <c r="A1213" s="3" t="s">
        <v>2987</v>
      </c>
      <c r="B1213" s="1" t="s">
        <v>3005</v>
      </c>
      <c r="C1213" s="1" t="s">
        <v>3046</v>
      </c>
      <c r="D1213" s="1" t="str">
        <f>"8415"</f>
        <v>8415</v>
      </c>
      <c r="E1213" s="1" t="str">
        <f>"016411803"</f>
        <v>016411803</v>
      </c>
      <c r="F1213" s="1" t="s">
        <v>2550</v>
      </c>
      <c r="G1213" s="3" t="s">
        <v>847</v>
      </c>
      <c r="H1213" s="3" t="str">
        <f>"1"</f>
        <v>1</v>
      </c>
      <c r="I1213" s="4">
        <v>110.56</v>
      </c>
      <c r="J1213" s="2">
        <v>45920</v>
      </c>
      <c r="K1213" s="1" t="s">
        <v>3021</v>
      </c>
    </row>
    <row r="1214" spans="1:11" x14ac:dyDescent="0.35">
      <c r="A1214" s="3" t="s">
        <v>2987</v>
      </c>
      <c r="B1214" s="1" t="s">
        <v>3005</v>
      </c>
      <c r="C1214" s="1" t="s">
        <v>3047</v>
      </c>
      <c r="D1214" s="1" t="str">
        <f>"8415"</f>
        <v>8415</v>
      </c>
      <c r="E1214" s="1" t="str">
        <f>"015841409"</f>
        <v>015841409</v>
      </c>
      <c r="F1214" s="1" t="s">
        <v>2550</v>
      </c>
      <c r="G1214" s="3" t="s">
        <v>15</v>
      </c>
      <c r="H1214" s="3" t="str">
        <f>"1"</f>
        <v>1</v>
      </c>
      <c r="I1214" s="4">
        <v>474.75</v>
      </c>
      <c r="J1214" s="2">
        <v>45920</v>
      </c>
      <c r="K1214" s="1" t="s">
        <v>3021</v>
      </c>
    </row>
    <row r="1215" spans="1:11" x14ac:dyDescent="0.35">
      <c r="A1215" s="3" t="s">
        <v>2987</v>
      </c>
      <c r="B1215" s="1" t="s">
        <v>3005</v>
      </c>
      <c r="C1215" s="1" t="s">
        <v>3048</v>
      </c>
      <c r="D1215" s="1" t="str">
        <f>"8415"</f>
        <v>8415</v>
      </c>
      <c r="E1215" s="1" t="str">
        <f>"015467444"</f>
        <v>015467444</v>
      </c>
      <c r="F1215" s="1" t="s">
        <v>839</v>
      </c>
      <c r="G1215" s="3" t="s">
        <v>15</v>
      </c>
      <c r="H1215" s="3" t="str">
        <f>"3"</f>
        <v>3</v>
      </c>
      <c r="I1215" s="4">
        <v>67.62</v>
      </c>
      <c r="J1215" s="2">
        <v>45920</v>
      </c>
      <c r="K1215" s="1" t="s">
        <v>3021</v>
      </c>
    </row>
    <row r="1216" spans="1:11" x14ac:dyDescent="0.35">
      <c r="A1216" s="3" t="s">
        <v>2987</v>
      </c>
      <c r="B1216" s="1" t="s">
        <v>3005</v>
      </c>
      <c r="C1216" s="1" t="s">
        <v>3049</v>
      </c>
      <c r="D1216" s="1" t="str">
        <f>"8465"</f>
        <v>8465</v>
      </c>
      <c r="E1216" s="1" t="str">
        <f>"015917521"</f>
        <v>015917521</v>
      </c>
      <c r="F1216" s="1" t="s">
        <v>3050</v>
      </c>
      <c r="G1216" s="3" t="s">
        <v>15</v>
      </c>
      <c r="H1216" s="3" t="str">
        <f>"11"</f>
        <v>11</v>
      </c>
      <c r="I1216" s="4">
        <v>44.88</v>
      </c>
      <c r="J1216" s="2">
        <v>45920</v>
      </c>
      <c r="K1216" s="1" t="s">
        <v>3051</v>
      </c>
    </row>
    <row r="1217" spans="1:11" x14ac:dyDescent="0.35">
      <c r="A1217" s="3" t="s">
        <v>2987</v>
      </c>
      <c r="B1217" s="1" t="s">
        <v>3065</v>
      </c>
      <c r="C1217" s="1" t="s">
        <v>3066</v>
      </c>
      <c r="D1217" s="1" t="str">
        <f>"1095"</f>
        <v>1095</v>
      </c>
      <c r="E1217" s="1" t="str">
        <f>"015300833"</f>
        <v>015300833</v>
      </c>
      <c r="F1217" s="1" t="s">
        <v>3067</v>
      </c>
      <c r="G1217" s="3" t="s">
        <v>15</v>
      </c>
      <c r="H1217" s="3" t="str">
        <f>"8"</f>
        <v>8</v>
      </c>
      <c r="I1217" s="4">
        <v>167.28</v>
      </c>
      <c r="J1217" s="2">
        <v>45913</v>
      </c>
      <c r="K1217" s="1" t="s">
        <v>3068</v>
      </c>
    </row>
    <row r="1218" spans="1:11" x14ac:dyDescent="0.35">
      <c r="A1218" s="3" t="s">
        <v>2987</v>
      </c>
      <c r="B1218" s="1" t="s">
        <v>3065</v>
      </c>
      <c r="C1218" s="1" t="s">
        <v>3071</v>
      </c>
      <c r="D1218" s="1" t="str">
        <f>"4240"</f>
        <v>4240</v>
      </c>
      <c r="E1218" s="1" t="str">
        <f>"015040994"</f>
        <v>015040994</v>
      </c>
      <c r="F1218" s="1" t="s">
        <v>214</v>
      </c>
      <c r="G1218" s="3" t="s">
        <v>15</v>
      </c>
      <c r="H1218" s="3" t="str">
        <f>"50"</f>
        <v>50</v>
      </c>
      <c r="I1218" s="4">
        <v>70.849999999999994</v>
      </c>
      <c r="J1218" s="2">
        <v>45913</v>
      </c>
      <c r="K1218" s="1" t="s">
        <v>3072</v>
      </c>
    </row>
    <row r="1219" spans="1:11" x14ac:dyDescent="0.35">
      <c r="A1219" s="3" t="s">
        <v>2987</v>
      </c>
      <c r="B1219" s="1" t="s">
        <v>3065</v>
      </c>
      <c r="C1219" s="1" t="s">
        <v>3073</v>
      </c>
      <c r="D1219" s="1" t="str">
        <f>"4240"</f>
        <v>4240</v>
      </c>
      <c r="E1219" s="1" t="str">
        <f>"016306064"</f>
        <v>016306064</v>
      </c>
      <c r="F1219" s="1" t="s">
        <v>214</v>
      </c>
      <c r="G1219" s="3" t="s">
        <v>15</v>
      </c>
      <c r="H1219" s="3" t="str">
        <f>"6"</f>
        <v>6</v>
      </c>
      <c r="I1219" s="4">
        <v>128.83000000000001</v>
      </c>
      <c r="J1219" s="2">
        <v>45913</v>
      </c>
      <c r="K1219" s="1" t="s">
        <v>3074</v>
      </c>
    </row>
    <row r="1220" spans="1:11" x14ac:dyDescent="0.35">
      <c r="A1220" s="3" t="s">
        <v>2987</v>
      </c>
      <c r="B1220" s="1" t="s">
        <v>3065</v>
      </c>
      <c r="C1220" s="1" t="s">
        <v>3075</v>
      </c>
      <c r="D1220" s="1" t="str">
        <f>"5120"</f>
        <v>5120</v>
      </c>
      <c r="E1220" s="1" t="str">
        <f>"013390367"</f>
        <v>013390367</v>
      </c>
      <c r="F1220" s="1" t="s">
        <v>949</v>
      </c>
      <c r="G1220" s="3" t="s">
        <v>15</v>
      </c>
      <c r="H1220" s="3" t="str">
        <f>"15"</f>
        <v>15</v>
      </c>
      <c r="I1220" s="4">
        <v>141.46</v>
      </c>
      <c r="J1220" s="2">
        <v>45913</v>
      </c>
      <c r="K1220" s="1" t="s">
        <v>3076</v>
      </c>
    </row>
    <row r="1221" spans="1:11" x14ac:dyDescent="0.35">
      <c r="A1221" s="3" t="s">
        <v>2987</v>
      </c>
      <c r="B1221" s="1" t="s">
        <v>3065</v>
      </c>
      <c r="C1221" s="1" t="s">
        <v>3069</v>
      </c>
      <c r="D1221" s="1" t="str">
        <f>"1240"</f>
        <v>1240</v>
      </c>
      <c r="E1221" s="1" t="str">
        <f>"015751099"</f>
        <v>015751099</v>
      </c>
      <c r="F1221" s="1" t="s">
        <v>868</v>
      </c>
      <c r="G1221" s="3" t="s">
        <v>15</v>
      </c>
      <c r="H1221" s="3" t="str">
        <f>"30"</f>
        <v>30</v>
      </c>
      <c r="I1221" s="4" t="str">
        <f>"1055"</f>
        <v>1055</v>
      </c>
      <c r="J1221" s="2">
        <v>45911</v>
      </c>
      <c r="K1221" s="1" t="s">
        <v>3070</v>
      </c>
    </row>
    <row r="1222" spans="1:11" x14ac:dyDescent="0.35">
      <c r="A1222" s="3" t="s">
        <v>2987</v>
      </c>
      <c r="B1222" s="1" t="s">
        <v>3065</v>
      </c>
      <c r="C1222" s="1" t="s">
        <v>3084</v>
      </c>
      <c r="D1222" s="1" t="str">
        <f>"5965"</f>
        <v>5965</v>
      </c>
      <c r="E1222" s="1" t="str">
        <f>"226296584"</f>
        <v>226296584</v>
      </c>
      <c r="F1222" s="1" t="s">
        <v>1389</v>
      </c>
      <c r="G1222" s="3" t="s">
        <v>15</v>
      </c>
      <c r="H1222" s="3" t="str">
        <f>"15"</f>
        <v>15</v>
      </c>
      <c r="I1222" s="4">
        <v>1567.84</v>
      </c>
      <c r="J1222" s="2">
        <v>45911</v>
      </c>
      <c r="K1222" s="1" t="s">
        <v>3085</v>
      </c>
    </row>
    <row r="1223" spans="1:11" x14ac:dyDescent="0.35">
      <c r="A1223" s="3" t="s">
        <v>2987</v>
      </c>
      <c r="B1223" s="1" t="s">
        <v>3065</v>
      </c>
      <c r="C1223" s="1" t="s">
        <v>3086</v>
      </c>
      <c r="D1223" s="1" t="str">
        <f>"5965"</f>
        <v>5965</v>
      </c>
      <c r="E1223" s="1" t="str">
        <f>"226297499"</f>
        <v>226297499</v>
      </c>
      <c r="F1223" s="1" t="s">
        <v>22</v>
      </c>
      <c r="G1223" s="3" t="s">
        <v>15</v>
      </c>
      <c r="H1223" s="3" t="str">
        <f>"15"</f>
        <v>15</v>
      </c>
      <c r="I1223" s="4">
        <v>2219.81</v>
      </c>
      <c r="J1223" s="2">
        <v>45911</v>
      </c>
      <c r="K1223" s="1" t="s">
        <v>3087</v>
      </c>
    </row>
    <row r="1224" spans="1:11" x14ac:dyDescent="0.35">
      <c r="A1224" s="3" t="s">
        <v>2987</v>
      </c>
      <c r="B1224" s="1" t="s">
        <v>3065</v>
      </c>
      <c r="C1224" s="1" t="s">
        <v>3088</v>
      </c>
      <c r="D1224" s="1" t="str">
        <f>"5965"</f>
        <v>5965</v>
      </c>
      <c r="E1224" s="1" t="str">
        <f>"226297499"</f>
        <v>226297499</v>
      </c>
      <c r="F1224" s="1" t="s">
        <v>22</v>
      </c>
      <c r="G1224" s="3" t="s">
        <v>15</v>
      </c>
      <c r="H1224" s="3" t="str">
        <f>"15"</f>
        <v>15</v>
      </c>
      <c r="I1224" s="4">
        <v>2219.81</v>
      </c>
      <c r="J1224" s="2">
        <v>45911</v>
      </c>
      <c r="K1224" s="1" t="s">
        <v>3087</v>
      </c>
    </row>
    <row r="1225" spans="1:11" x14ac:dyDescent="0.35">
      <c r="A1225" s="3" t="s">
        <v>2987</v>
      </c>
      <c r="B1225" s="1" t="s">
        <v>3065</v>
      </c>
      <c r="C1225" s="1" t="s">
        <v>3089</v>
      </c>
      <c r="D1225" s="1" t="str">
        <f>"5965"</f>
        <v>5965</v>
      </c>
      <c r="E1225" s="1" t="str">
        <f>"226297499"</f>
        <v>226297499</v>
      </c>
      <c r="F1225" s="1" t="s">
        <v>22</v>
      </c>
      <c r="G1225" s="3" t="s">
        <v>15</v>
      </c>
      <c r="H1225" s="3" t="str">
        <f>"5"</f>
        <v>5</v>
      </c>
      <c r="I1225" s="4">
        <v>2219.81</v>
      </c>
      <c r="J1225" s="2">
        <v>45911</v>
      </c>
      <c r="K1225" s="1" t="s">
        <v>3085</v>
      </c>
    </row>
    <row r="1226" spans="1:11" x14ac:dyDescent="0.35">
      <c r="A1226" s="3" t="s">
        <v>2987</v>
      </c>
      <c r="B1226" s="1" t="s">
        <v>3065</v>
      </c>
      <c r="C1226" s="1" t="s">
        <v>3090</v>
      </c>
      <c r="D1226" s="1" t="str">
        <f>"6650"</f>
        <v>6650</v>
      </c>
      <c r="E1226" s="1" t="str">
        <f>"014477916"</f>
        <v>014477916</v>
      </c>
      <c r="F1226" s="1" t="s">
        <v>868</v>
      </c>
      <c r="G1226" s="3" t="s">
        <v>15</v>
      </c>
      <c r="H1226" s="3" t="str">
        <f>"6"</f>
        <v>6</v>
      </c>
      <c r="I1226" s="4">
        <v>252.93</v>
      </c>
      <c r="J1226" s="2">
        <v>45911</v>
      </c>
      <c r="K1226" s="1" t="s">
        <v>3091</v>
      </c>
    </row>
    <row r="1227" spans="1:11" x14ac:dyDescent="0.35">
      <c r="A1227" s="3" t="s">
        <v>2987</v>
      </c>
      <c r="B1227" s="1" t="s">
        <v>2991</v>
      </c>
      <c r="C1227" s="1" t="s">
        <v>2997</v>
      </c>
      <c r="D1227" s="1" t="str">
        <f>"6920"</f>
        <v>6920</v>
      </c>
      <c r="E1227" s="1" t="s">
        <v>2759</v>
      </c>
      <c r="F1227" s="1" t="s">
        <v>2760</v>
      </c>
      <c r="G1227" s="3" t="s">
        <v>15</v>
      </c>
      <c r="H1227" s="3" t="str">
        <f>"10"</f>
        <v>10</v>
      </c>
      <c r="I1227" s="4" t="str">
        <f>"50"</f>
        <v>50</v>
      </c>
      <c r="J1227" s="2">
        <v>45895</v>
      </c>
      <c r="K1227" s="1" t="s">
        <v>2998</v>
      </c>
    </row>
    <row r="1228" spans="1:11" x14ac:dyDescent="0.35">
      <c r="A1228" s="3" t="s">
        <v>2987</v>
      </c>
      <c r="B1228" s="1" t="s">
        <v>3065</v>
      </c>
      <c r="C1228" s="1" t="s">
        <v>3082</v>
      </c>
      <c r="D1228" s="1" t="str">
        <f>"5965"</f>
        <v>5965</v>
      </c>
      <c r="E1228" s="1" t="str">
        <f>"226297499"</f>
        <v>226297499</v>
      </c>
      <c r="F1228" s="1" t="s">
        <v>22</v>
      </c>
      <c r="G1228" s="3" t="s">
        <v>15</v>
      </c>
      <c r="H1228" s="3" t="str">
        <f>"23"</f>
        <v>23</v>
      </c>
      <c r="I1228" s="4">
        <v>2219.81</v>
      </c>
      <c r="J1228" s="2">
        <v>45891</v>
      </c>
      <c r="K1228" s="1" t="s">
        <v>3083</v>
      </c>
    </row>
    <row r="1229" spans="1:11" x14ac:dyDescent="0.35">
      <c r="A1229" s="3" t="s">
        <v>2987</v>
      </c>
      <c r="B1229" s="1" t="s">
        <v>3058</v>
      </c>
      <c r="C1229" s="1" t="s">
        <v>3059</v>
      </c>
      <c r="D1229" s="1" t="str">
        <f>"2010"</f>
        <v>2010</v>
      </c>
      <c r="E1229" s="1" t="str">
        <f>"015222270"</f>
        <v>015222270</v>
      </c>
      <c r="F1229" s="1" t="s">
        <v>3060</v>
      </c>
      <c r="G1229" s="3" t="s">
        <v>15</v>
      </c>
      <c r="H1229" s="3" t="str">
        <f>"6"</f>
        <v>6</v>
      </c>
      <c r="I1229" s="4">
        <v>584.25</v>
      </c>
      <c r="J1229" s="2">
        <v>45887</v>
      </c>
      <c r="K1229" s="1" t="s">
        <v>3061</v>
      </c>
    </row>
    <row r="1230" spans="1:11" x14ac:dyDescent="0.35">
      <c r="A1230" s="3" t="s">
        <v>2987</v>
      </c>
      <c r="B1230" s="1" t="s">
        <v>3058</v>
      </c>
      <c r="C1230" s="1" t="s">
        <v>3062</v>
      </c>
      <c r="D1230" s="1" t="str">
        <f>"6525"</f>
        <v>6525</v>
      </c>
      <c r="E1230" s="1" t="str">
        <f>"015037170"</f>
        <v>015037170</v>
      </c>
      <c r="F1230" s="1" t="s">
        <v>3063</v>
      </c>
      <c r="G1230" s="3" t="s">
        <v>15</v>
      </c>
      <c r="H1230" s="3" t="str">
        <f>"2"</f>
        <v>2</v>
      </c>
      <c r="I1230" s="4">
        <v>56257.29</v>
      </c>
      <c r="J1230" s="2">
        <v>45887</v>
      </c>
      <c r="K1230" s="1" t="s">
        <v>3064</v>
      </c>
    </row>
    <row r="1231" spans="1:11" x14ac:dyDescent="0.35">
      <c r="A1231" s="3" t="s">
        <v>2987</v>
      </c>
      <c r="B1231" s="1" t="s">
        <v>3065</v>
      </c>
      <c r="C1231" s="1" t="s">
        <v>3077</v>
      </c>
      <c r="D1231" s="1" t="str">
        <f>"5180"</f>
        <v>5180</v>
      </c>
      <c r="E1231" s="1" t="str">
        <f>"015569150"</f>
        <v>015569150</v>
      </c>
      <c r="F1231" s="1" t="s">
        <v>3078</v>
      </c>
      <c r="G1231" s="3" t="s">
        <v>15</v>
      </c>
      <c r="H1231" s="3" t="str">
        <f>"10"</f>
        <v>10</v>
      </c>
      <c r="I1231" s="4" t="str">
        <f>"1638"</f>
        <v>1638</v>
      </c>
      <c r="J1231" s="2">
        <v>45887</v>
      </c>
      <c r="K1231" s="1" t="s">
        <v>3079</v>
      </c>
    </row>
    <row r="1232" spans="1:11" x14ac:dyDescent="0.35">
      <c r="A1232" s="3" t="s">
        <v>2987</v>
      </c>
      <c r="B1232" s="1" t="s">
        <v>3065</v>
      </c>
      <c r="C1232" s="1" t="s">
        <v>3092</v>
      </c>
      <c r="D1232" s="1" t="str">
        <f>"8415"</f>
        <v>8415</v>
      </c>
      <c r="E1232" s="1" t="str">
        <f>"015386695"</f>
        <v>015386695</v>
      </c>
      <c r="F1232" s="1" t="s">
        <v>2550</v>
      </c>
      <c r="G1232" s="3" t="s">
        <v>15</v>
      </c>
      <c r="H1232" s="3" t="str">
        <f>"5"</f>
        <v>5</v>
      </c>
      <c r="I1232" s="4">
        <v>128.25</v>
      </c>
      <c r="J1232" s="2">
        <v>45887</v>
      </c>
      <c r="K1232" s="1" t="s">
        <v>3093</v>
      </c>
    </row>
    <row r="1233" spans="1:11" x14ac:dyDescent="0.35">
      <c r="A1233" s="3" t="s">
        <v>2987</v>
      </c>
      <c r="B1233" s="1" t="s">
        <v>3065</v>
      </c>
      <c r="C1233" s="1" t="s">
        <v>3094</v>
      </c>
      <c r="D1233" s="1" t="str">
        <f>"8415"</f>
        <v>8415</v>
      </c>
      <c r="E1233" s="1" t="str">
        <f>"015386289"</f>
        <v>015386289</v>
      </c>
      <c r="F1233" s="1" t="s">
        <v>973</v>
      </c>
      <c r="G1233" s="3" t="s">
        <v>15</v>
      </c>
      <c r="H1233" s="3" t="str">
        <f>"2"</f>
        <v>2</v>
      </c>
      <c r="I1233" s="4">
        <v>143.46</v>
      </c>
      <c r="J1233" s="2">
        <v>45887</v>
      </c>
      <c r="K1233" s="1" t="s">
        <v>3095</v>
      </c>
    </row>
    <row r="1234" spans="1:11" x14ac:dyDescent="0.35">
      <c r="A1234" s="3" t="s">
        <v>2987</v>
      </c>
      <c r="B1234" s="1" t="s">
        <v>3065</v>
      </c>
      <c r="C1234" s="1" t="s">
        <v>3096</v>
      </c>
      <c r="D1234" s="1" t="str">
        <f>"8415"</f>
        <v>8415</v>
      </c>
      <c r="E1234" s="1" t="str">
        <f>"015386289"</f>
        <v>015386289</v>
      </c>
      <c r="F1234" s="1" t="s">
        <v>973</v>
      </c>
      <c r="G1234" s="3" t="s">
        <v>15</v>
      </c>
      <c r="H1234" s="3" t="str">
        <f>"5"</f>
        <v>5</v>
      </c>
      <c r="I1234" s="4">
        <v>143.46</v>
      </c>
      <c r="J1234" s="2">
        <v>45887</v>
      </c>
      <c r="K1234" s="1" t="s">
        <v>3095</v>
      </c>
    </row>
    <row r="1235" spans="1:11" x14ac:dyDescent="0.35">
      <c r="A1235" s="3" t="s">
        <v>2987</v>
      </c>
      <c r="B1235" s="1" t="s">
        <v>3097</v>
      </c>
      <c r="C1235" s="1" t="s">
        <v>3098</v>
      </c>
      <c r="D1235" s="1" t="str">
        <f>"1240"</f>
        <v>1240</v>
      </c>
      <c r="E1235" s="1" t="str">
        <f>"015350972"</f>
        <v>015350972</v>
      </c>
      <c r="F1235" s="1" t="s">
        <v>1899</v>
      </c>
      <c r="G1235" s="3" t="s">
        <v>15</v>
      </c>
      <c r="H1235" s="3" t="str">
        <f>"50"</f>
        <v>50</v>
      </c>
      <c r="I1235" s="4">
        <v>12.11</v>
      </c>
      <c r="J1235" s="2">
        <v>45887</v>
      </c>
      <c r="K1235" s="1" t="s">
        <v>3099</v>
      </c>
    </row>
    <row r="1236" spans="1:11" x14ac:dyDescent="0.35">
      <c r="A1236" s="3" t="s">
        <v>2987</v>
      </c>
      <c r="B1236" s="1" t="s">
        <v>3065</v>
      </c>
      <c r="C1236" s="1" t="s">
        <v>3080</v>
      </c>
      <c r="D1236" s="1" t="str">
        <f>"5855"</f>
        <v>5855</v>
      </c>
      <c r="E1236" s="1" t="s">
        <v>285</v>
      </c>
      <c r="F1236" s="1" t="s">
        <v>286</v>
      </c>
      <c r="G1236" s="3" t="s">
        <v>15</v>
      </c>
      <c r="H1236" s="3" t="str">
        <f>"35"</f>
        <v>35</v>
      </c>
      <c r="I1236" s="4" t="str">
        <f>"10000"</f>
        <v>10000</v>
      </c>
      <c r="J1236" s="2">
        <v>45880</v>
      </c>
      <c r="K1236" s="1" t="s">
        <v>3081</v>
      </c>
    </row>
    <row r="1237" spans="1:11" x14ac:dyDescent="0.35">
      <c r="A1237" s="3" t="s">
        <v>2987</v>
      </c>
      <c r="B1237" s="1" t="s">
        <v>2988</v>
      </c>
      <c r="C1237" s="1" t="s">
        <v>2989</v>
      </c>
      <c r="D1237" s="1" t="str">
        <f>"5855"</f>
        <v>5855</v>
      </c>
      <c r="E1237" s="1" t="str">
        <f>"015847217"</f>
        <v>015847217</v>
      </c>
      <c r="F1237" s="1" t="s">
        <v>1942</v>
      </c>
      <c r="G1237" s="3" t="s">
        <v>15</v>
      </c>
      <c r="H1237" s="3" t="str">
        <f>"17"</f>
        <v>17</v>
      </c>
      <c r="I1237" s="4" t="str">
        <f>"35674"</f>
        <v>35674</v>
      </c>
      <c r="J1237" s="2">
        <v>45875</v>
      </c>
      <c r="K1237" s="1" t="s">
        <v>2990</v>
      </c>
    </row>
    <row r="1238" spans="1:11" x14ac:dyDescent="0.35">
      <c r="A1238" s="3" t="s">
        <v>2987</v>
      </c>
      <c r="B1238" s="1" t="s">
        <v>3055</v>
      </c>
      <c r="C1238" s="1" t="s">
        <v>3056</v>
      </c>
      <c r="D1238" s="1" t="str">
        <f>"6230"</f>
        <v>6230</v>
      </c>
      <c r="E1238" s="1" t="s">
        <v>178</v>
      </c>
      <c r="F1238" s="1" t="s">
        <v>179</v>
      </c>
      <c r="G1238" s="3" t="s">
        <v>15</v>
      </c>
      <c r="H1238" s="3" t="str">
        <f>"50"</f>
        <v>50</v>
      </c>
      <c r="I1238" s="4">
        <v>22.73</v>
      </c>
      <c r="J1238" s="2">
        <v>45848</v>
      </c>
      <c r="K1238" s="1" t="s">
        <v>3057</v>
      </c>
    </row>
    <row r="1239" spans="1:11" x14ac:dyDescent="0.35">
      <c r="A1239" s="3" t="s">
        <v>2987</v>
      </c>
      <c r="B1239" s="1" t="s">
        <v>2991</v>
      </c>
      <c r="C1239" s="1" t="s">
        <v>2992</v>
      </c>
      <c r="D1239" s="1" t="str">
        <f>"4030"</f>
        <v>4030</v>
      </c>
      <c r="E1239" s="1" t="str">
        <f>"014780583"</f>
        <v>014780583</v>
      </c>
      <c r="F1239" s="1" t="s">
        <v>2993</v>
      </c>
      <c r="G1239" s="3" t="s">
        <v>15</v>
      </c>
      <c r="H1239" s="3" t="str">
        <f>"120"</f>
        <v>120</v>
      </c>
      <c r="I1239" s="4">
        <v>1.04</v>
      </c>
      <c r="J1239" s="2">
        <v>45846</v>
      </c>
      <c r="K1239" s="1" t="s">
        <v>2994</v>
      </c>
    </row>
    <row r="1240" spans="1:11" x14ac:dyDescent="0.35">
      <c r="A1240" s="3" t="s">
        <v>2987</v>
      </c>
      <c r="B1240" s="1" t="s">
        <v>2991</v>
      </c>
      <c r="C1240" s="1" t="s">
        <v>2995</v>
      </c>
      <c r="D1240" s="1" t="str">
        <f>"6115"</f>
        <v>6115</v>
      </c>
      <c r="E1240" s="1" t="str">
        <f>"016122549"</f>
        <v>016122549</v>
      </c>
      <c r="F1240" s="1" t="s">
        <v>1392</v>
      </c>
      <c r="G1240" s="3" t="s">
        <v>15</v>
      </c>
      <c r="H1240" s="3" t="str">
        <f>"3"</f>
        <v>3</v>
      </c>
      <c r="I1240" s="4" t="str">
        <f>"7566"</f>
        <v>7566</v>
      </c>
      <c r="J1240" s="2">
        <v>45846</v>
      </c>
      <c r="K1240" s="1" t="s">
        <v>2996</v>
      </c>
    </row>
    <row r="1241" spans="1:11" x14ac:dyDescent="0.35">
      <c r="A1241" s="3" t="s">
        <v>2987</v>
      </c>
      <c r="B1241" s="1" t="s">
        <v>2991</v>
      </c>
      <c r="C1241" s="1" t="s">
        <v>2999</v>
      </c>
      <c r="D1241" s="1" t="str">
        <f>"8415"</f>
        <v>8415</v>
      </c>
      <c r="E1241" s="1" t="str">
        <f>"016928148"</f>
        <v>016928148</v>
      </c>
      <c r="F1241" s="1" t="s">
        <v>3000</v>
      </c>
      <c r="G1241" s="3" t="s">
        <v>15</v>
      </c>
      <c r="H1241" s="3" t="str">
        <f>"2"</f>
        <v>2</v>
      </c>
      <c r="I1241" s="4">
        <v>20.74</v>
      </c>
      <c r="J1241" s="2">
        <v>45846</v>
      </c>
      <c r="K1241" s="1" t="s">
        <v>3001</v>
      </c>
    </row>
    <row r="1242" spans="1:11" x14ac:dyDescent="0.35">
      <c r="A1242" s="3" t="s">
        <v>2987</v>
      </c>
      <c r="B1242" s="1" t="s">
        <v>3052</v>
      </c>
      <c r="C1242" s="1" t="s">
        <v>3053</v>
      </c>
      <c r="D1242" s="1" t="str">
        <f>"4240"</f>
        <v>4240</v>
      </c>
      <c r="E1242" s="1" t="s">
        <v>2689</v>
      </c>
      <c r="F1242" s="1" t="s">
        <v>2690</v>
      </c>
      <c r="G1242" s="3" t="s">
        <v>15</v>
      </c>
      <c r="H1242" s="3" t="str">
        <f>"18"</f>
        <v>18</v>
      </c>
      <c r="I1242" s="4" t="str">
        <f>"58"</f>
        <v>58</v>
      </c>
      <c r="J1242" s="2">
        <v>45845</v>
      </c>
      <c r="K1242" s="1" t="s">
        <v>3054</v>
      </c>
    </row>
    <row r="1243" spans="1:11" x14ac:dyDescent="0.35">
      <c r="A1243" s="3" t="s">
        <v>847</v>
      </c>
      <c r="B1243" s="1" t="s">
        <v>3100</v>
      </c>
      <c r="C1243" s="1" t="s">
        <v>3101</v>
      </c>
      <c r="D1243" s="1" t="str">
        <f>"2330"</f>
        <v>2330</v>
      </c>
      <c r="E1243" s="1" t="s">
        <v>70</v>
      </c>
      <c r="F1243" s="1" t="s">
        <v>71</v>
      </c>
      <c r="G1243" s="3" t="s">
        <v>15</v>
      </c>
      <c r="H1243" s="3" t="str">
        <f>"2"</f>
        <v>2</v>
      </c>
      <c r="I1243" s="4">
        <v>12244.44</v>
      </c>
      <c r="J1243" s="2">
        <v>45883</v>
      </c>
      <c r="K1243" s="1" t="s">
        <v>3102</v>
      </c>
    </row>
    <row r="1244" spans="1:11" x14ac:dyDescent="0.35">
      <c r="A1244" s="3" t="s">
        <v>847</v>
      </c>
      <c r="B1244" s="1" t="s">
        <v>3100</v>
      </c>
      <c r="C1244" s="1" t="s">
        <v>3103</v>
      </c>
      <c r="D1244" s="1" t="str">
        <f>"2340"</f>
        <v>2340</v>
      </c>
      <c r="E1244" s="1" t="s">
        <v>694</v>
      </c>
      <c r="F1244" s="1" t="s">
        <v>695</v>
      </c>
      <c r="G1244" s="3" t="s">
        <v>15</v>
      </c>
      <c r="H1244" s="3" t="str">
        <f>"1"</f>
        <v>1</v>
      </c>
      <c r="I1244" s="4" t="str">
        <f>"18399"</f>
        <v>18399</v>
      </c>
      <c r="J1244" s="2">
        <v>45883</v>
      </c>
      <c r="K1244" s="1" t="s">
        <v>3104</v>
      </c>
    </row>
    <row r="1245" spans="1:11" x14ac:dyDescent="0.35">
      <c r="A1245" s="3" t="s">
        <v>3105</v>
      </c>
      <c r="B1245" s="1" t="s">
        <v>3123</v>
      </c>
      <c r="C1245" s="1" t="s">
        <v>3124</v>
      </c>
      <c r="D1245" s="1" t="str">
        <f>"6115"</f>
        <v>6115</v>
      </c>
      <c r="E1245" s="1" t="str">
        <f>"013491536"</f>
        <v>013491536</v>
      </c>
      <c r="F1245" s="1" t="s">
        <v>1838</v>
      </c>
      <c r="G1245" s="3" t="s">
        <v>15</v>
      </c>
      <c r="H1245" s="3" t="str">
        <f>"1"</f>
        <v>1</v>
      </c>
      <c r="I1245" s="4" t="str">
        <f>"164000"</f>
        <v>164000</v>
      </c>
      <c r="J1245" s="2">
        <v>45929</v>
      </c>
      <c r="K1245" s="1" t="s">
        <v>3125</v>
      </c>
    </row>
    <row r="1246" spans="1:11" x14ac:dyDescent="0.35">
      <c r="A1246" s="3" t="s">
        <v>3105</v>
      </c>
      <c r="B1246" s="1" t="s">
        <v>3123</v>
      </c>
      <c r="C1246" s="1" t="s">
        <v>3126</v>
      </c>
      <c r="D1246" s="1" t="str">
        <f>"6115"</f>
        <v>6115</v>
      </c>
      <c r="E1246" s="1" t="str">
        <f>"013491536"</f>
        <v>013491536</v>
      </c>
      <c r="F1246" s="1" t="s">
        <v>1838</v>
      </c>
      <c r="G1246" s="3" t="s">
        <v>15</v>
      </c>
      <c r="H1246" s="3" t="str">
        <f>"1"</f>
        <v>1</v>
      </c>
      <c r="I1246" s="4" t="str">
        <f>"164000"</f>
        <v>164000</v>
      </c>
      <c r="J1246" s="2">
        <v>45929</v>
      </c>
      <c r="K1246" s="1" t="s">
        <v>3125</v>
      </c>
    </row>
    <row r="1247" spans="1:11" x14ac:dyDescent="0.35">
      <c r="A1247" s="3" t="s">
        <v>3105</v>
      </c>
      <c r="B1247" s="1" t="s">
        <v>3129</v>
      </c>
      <c r="C1247" s="1" t="s">
        <v>3136</v>
      </c>
      <c r="D1247" s="1" t="str">
        <f>"6115"</f>
        <v>6115</v>
      </c>
      <c r="E1247" s="1" t="str">
        <f>"013199033"</f>
        <v>013199033</v>
      </c>
      <c r="F1247" s="1" t="s">
        <v>1775</v>
      </c>
      <c r="G1247" s="3" t="s">
        <v>15</v>
      </c>
      <c r="H1247" s="3" t="str">
        <f>"1"</f>
        <v>1</v>
      </c>
      <c r="I1247" s="4" t="str">
        <f>"18183"</f>
        <v>18183</v>
      </c>
      <c r="J1247" s="2">
        <v>45929</v>
      </c>
      <c r="K1247" s="1" t="s">
        <v>3137</v>
      </c>
    </row>
    <row r="1248" spans="1:11" x14ac:dyDescent="0.35">
      <c r="A1248" s="3" t="s">
        <v>3105</v>
      </c>
      <c r="B1248" s="1" t="s">
        <v>3154</v>
      </c>
      <c r="C1248" s="1" t="s">
        <v>3158</v>
      </c>
      <c r="D1248" s="1" t="str">
        <f>"2340"</f>
        <v>2340</v>
      </c>
      <c r="E1248" s="1" t="str">
        <f>"010919004"</f>
        <v>010919004</v>
      </c>
      <c r="F1248" s="1" t="s">
        <v>3159</v>
      </c>
      <c r="G1248" s="3" t="s">
        <v>15</v>
      </c>
      <c r="H1248" s="3" t="str">
        <f>"1"</f>
        <v>1</v>
      </c>
      <c r="I1248" s="4" t="str">
        <f>"2072"</f>
        <v>2072</v>
      </c>
      <c r="J1248" s="2">
        <v>45926</v>
      </c>
      <c r="K1248" s="1" t="s">
        <v>3160</v>
      </c>
    </row>
    <row r="1249" spans="1:11" x14ac:dyDescent="0.35">
      <c r="A1249" s="3" t="s">
        <v>3105</v>
      </c>
      <c r="B1249" s="1" t="s">
        <v>3154</v>
      </c>
      <c r="C1249" s="1" t="s">
        <v>3172</v>
      </c>
      <c r="D1249" s="1" t="str">
        <f>"5965"</f>
        <v>5965</v>
      </c>
      <c r="E1249" s="1" t="s">
        <v>3173</v>
      </c>
      <c r="F1249" s="1" t="s">
        <v>3174</v>
      </c>
      <c r="G1249" s="3" t="s">
        <v>15</v>
      </c>
      <c r="H1249" s="3" t="str">
        <f>"2"</f>
        <v>2</v>
      </c>
      <c r="I1249" s="4" t="str">
        <f>"3500"</f>
        <v>3500</v>
      </c>
      <c r="J1249" s="2">
        <v>45926</v>
      </c>
      <c r="K1249" s="1" t="s">
        <v>3175</v>
      </c>
    </row>
    <row r="1250" spans="1:11" x14ac:dyDescent="0.35">
      <c r="A1250" s="3" t="s">
        <v>3105</v>
      </c>
      <c r="B1250" s="1" t="s">
        <v>3154</v>
      </c>
      <c r="C1250" s="1" t="s">
        <v>3155</v>
      </c>
      <c r="D1250" s="1" t="str">
        <f>"2310"</f>
        <v>2310</v>
      </c>
      <c r="E1250" s="1" t="str">
        <f>"016231545"</f>
        <v>016231545</v>
      </c>
      <c r="F1250" s="1" t="s">
        <v>3156</v>
      </c>
      <c r="G1250" s="3" t="s">
        <v>15</v>
      </c>
      <c r="H1250" s="3" t="str">
        <f>"1"</f>
        <v>1</v>
      </c>
      <c r="I1250" s="4" t="str">
        <f>"32000"</f>
        <v>32000</v>
      </c>
      <c r="J1250" s="2">
        <v>45924</v>
      </c>
      <c r="K1250" s="1" t="s">
        <v>3157</v>
      </c>
    </row>
    <row r="1251" spans="1:11" x14ac:dyDescent="0.35">
      <c r="A1251" s="3" t="s">
        <v>3105</v>
      </c>
      <c r="B1251" s="1" t="s">
        <v>3111</v>
      </c>
      <c r="C1251" s="1" t="s">
        <v>3112</v>
      </c>
      <c r="D1251" s="1" t="str">
        <f>"4240"</f>
        <v>4240</v>
      </c>
      <c r="E1251" s="1" t="str">
        <f>"015700319"</f>
        <v>015700319</v>
      </c>
      <c r="F1251" s="1" t="s">
        <v>830</v>
      </c>
      <c r="G1251" s="3" t="s">
        <v>15</v>
      </c>
      <c r="H1251" s="3" t="str">
        <f>"52"</f>
        <v>52</v>
      </c>
      <c r="I1251" s="4">
        <v>39.07</v>
      </c>
      <c r="J1251" s="2">
        <v>45923</v>
      </c>
      <c r="K1251" s="1" t="s">
        <v>3113</v>
      </c>
    </row>
    <row r="1252" spans="1:11" x14ac:dyDescent="0.35">
      <c r="A1252" s="3" t="s">
        <v>3105</v>
      </c>
      <c r="B1252" s="1" t="s">
        <v>3154</v>
      </c>
      <c r="C1252" s="1" t="s">
        <v>3176</v>
      </c>
      <c r="D1252" s="1" t="str">
        <f>"8465"</f>
        <v>8465</v>
      </c>
      <c r="E1252" s="1" t="str">
        <f>"016733374"</f>
        <v>016733374</v>
      </c>
      <c r="F1252" s="1" t="s">
        <v>857</v>
      </c>
      <c r="G1252" s="3" t="s">
        <v>15</v>
      </c>
      <c r="H1252" s="3" t="str">
        <f>"25"</f>
        <v>25</v>
      </c>
      <c r="I1252" s="4">
        <v>389.21</v>
      </c>
      <c r="J1252" s="2">
        <v>45923</v>
      </c>
      <c r="K1252" s="1" t="s">
        <v>3177</v>
      </c>
    </row>
    <row r="1253" spans="1:11" x14ac:dyDescent="0.35">
      <c r="A1253" s="3" t="s">
        <v>3105</v>
      </c>
      <c r="B1253" s="1" t="s">
        <v>3154</v>
      </c>
      <c r="C1253" s="1" t="s">
        <v>3178</v>
      </c>
      <c r="D1253" s="1" t="str">
        <f>"8465"</f>
        <v>8465</v>
      </c>
      <c r="E1253" s="1" t="str">
        <f>"016416358"</f>
        <v>016416358</v>
      </c>
      <c r="F1253" s="1" t="s">
        <v>857</v>
      </c>
      <c r="G1253" s="3" t="s">
        <v>15</v>
      </c>
      <c r="H1253" s="3" t="str">
        <f>"33"</f>
        <v>33</v>
      </c>
      <c r="I1253" s="4" t="str">
        <f>"120"</f>
        <v>120</v>
      </c>
      <c r="J1253" s="2">
        <v>45923</v>
      </c>
      <c r="K1253" s="1" t="s">
        <v>3177</v>
      </c>
    </row>
    <row r="1254" spans="1:11" x14ac:dyDescent="0.35">
      <c r="A1254" s="3" t="s">
        <v>3105</v>
      </c>
      <c r="B1254" s="1" t="s">
        <v>3141</v>
      </c>
      <c r="C1254" s="1" t="s">
        <v>3144</v>
      </c>
      <c r="D1254" s="1" t="str">
        <f>"5855"</f>
        <v>5855</v>
      </c>
      <c r="E1254" s="1" t="str">
        <f>"015847217"</f>
        <v>015847217</v>
      </c>
      <c r="F1254" s="1" t="s">
        <v>1942</v>
      </c>
      <c r="G1254" s="3" t="s">
        <v>15</v>
      </c>
      <c r="H1254" s="3" t="str">
        <f>"30"</f>
        <v>30</v>
      </c>
      <c r="I1254" s="4" t="str">
        <f>"35674"</f>
        <v>35674</v>
      </c>
      <c r="J1254" s="2">
        <v>45920</v>
      </c>
      <c r="K1254" s="1" t="s">
        <v>3145</v>
      </c>
    </row>
    <row r="1255" spans="1:11" x14ac:dyDescent="0.35">
      <c r="A1255" s="3" t="s">
        <v>3105</v>
      </c>
      <c r="B1255" s="1" t="s">
        <v>3114</v>
      </c>
      <c r="C1255" s="1" t="s">
        <v>3115</v>
      </c>
      <c r="D1255" s="1" t="str">
        <f>"6720"</f>
        <v>6720</v>
      </c>
      <c r="E1255" s="1" t="s">
        <v>443</v>
      </c>
      <c r="F1255" s="1" t="s">
        <v>444</v>
      </c>
      <c r="G1255" s="3" t="s">
        <v>15</v>
      </c>
      <c r="H1255" s="3" t="str">
        <f>"2"</f>
        <v>2</v>
      </c>
      <c r="I1255" s="4" t="str">
        <f>"700"</f>
        <v>700</v>
      </c>
      <c r="J1255" s="2">
        <v>45918</v>
      </c>
      <c r="K1255" s="1" t="s">
        <v>3116</v>
      </c>
    </row>
    <row r="1256" spans="1:11" x14ac:dyDescent="0.35">
      <c r="A1256" s="3" t="s">
        <v>3105</v>
      </c>
      <c r="B1256" s="1" t="s">
        <v>3114</v>
      </c>
      <c r="C1256" s="1" t="s">
        <v>3117</v>
      </c>
      <c r="D1256" s="1" t="str">
        <f>"6720"</f>
        <v>6720</v>
      </c>
      <c r="E1256" s="1" t="s">
        <v>443</v>
      </c>
      <c r="F1256" s="1" t="s">
        <v>444</v>
      </c>
      <c r="G1256" s="3" t="s">
        <v>15</v>
      </c>
      <c r="H1256" s="3" t="str">
        <f>"5"</f>
        <v>5</v>
      </c>
      <c r="I1256" s="4" t="str">
        <f>"1154"</f>
        <v>1154</v>
      </c>
      <c r="J1256" s="2">
        <v>45918</v>
      </c>
      <c r="K1256" s="1" t="s">
        <v>3116</v>
      </c>
    </row>
    <row r="1257" spans="1:11" x14ac:dyDescent="0.35">
      <c r="A1257" s="3" t="s">
        <v>3105</v>
      </c>
      <c r="B1257" s="1" t="s">
        <v>3141</v>
      </c>
      <c r="C1257" s="1" t="s">
        <v>3150</v>
      </c>
      <c r="D1257" s="1" t="str">
        <f>"5855"</f>
        <v>5855</v>
      </c>
      <c r="E1257" s="1" t="str">
        <f>"015345931"</f>
        <v>015345931</v>
      </c>
      <c r="F1257" s="1" t="s">
        <v>703</v>
      </c>
      <c r="G1257" s="3" t="s">
        <v>15</v>
      </c>
      <c r="H1257" s="3" t="str">
        <f>"10"</f>
        <v>10</v>
      </c>
      <c r="I1257" s="4" t="str">
        <f>"1040"</f>
        <v>1040</v>
      </c>
      <c r="J1257" s="2">
        <v>45917</v>
      </c>
      <c r="K1257" s="1" t="s">
        <v>3145</v>
      </c>
    </row>
    <row r="1258" spans="1:11" x14ac:dyDescent="0.35">
      <c r="A1258" s="3" t="s">
        <v>3105</v>
      </c>
      <c r="B1258" s="1" t="s">
        <v>3141</v>
      </c>
      <c r="C1258" s="1" t="s">
        <v>3148</v>
      </c>
      <c r="D1258" s="1" t="str">
        <f>"5855"</f>
        <v>5855</v>
      </c>
      <c r="E1258" s="1" t="str">
        <f>"015790062"</f>
        <v>015790062</v>
      </c>
      <c r="F1258" s="1" t="s">
        <v>703</v>
      </c>
      <c r="G1258" s="3" t="s">
        <v>15</v>
      </c>
      <c r="H1258" s="3" t="str">
        <f>"20"</f>
        <v>20</v>
      </c>
      <c r="I1258" s="4" t="str">
        <f>"906"</f>
        <v>906</v>
      </c>
      <c r="J1258" s="2">
        <v>45912</v>
      </c>
      <c r="K1258" s="1" t="s">
        <v>3145</v>
      </c>
    </row>
    <row r="1259" spans="1:11" x14ac:dyDescent="0.35">
      <c r="A1259" s="3" t="s">
        <v>3105</v>
      </c>
      <c r="B1259" s="1" t="s">
        <v>3129</v>
      </c>
      <c r="C1259" s="1" t="s">
        <v>3134</v>
      </c>
      <c r="D1259" s="1" t="str">
        <f>"2330"</f>
        <v>2330</v>
      </c>
      <c r="E1259" s="1" t="s">
        <v>70</v>
      </c>
      <c r="F1259" s="1" t="s">
        <v>71</v>
      </c>
      <c r="G1259" s="3" t="s">
        <v>15</v>
      </c>
      <c r="H1259" s="3" t="str">
        <f>"1"</f>
        <v>1</v>
      </c>
      <c r="I1259" s="4" t="str">
        <f>"1434"</f>
        <v>1434</v>
      </c>
      <c r="J1259" s="2">
        <v>45905</v>
      </c>
      <c r="K1259" s="1" t="s">
        <v>3135</v>
      </c>
    </row>
    <row r="1260" spans="1:11" x14ac:dyDescent="0.35">
      <c r="A1260" s="3" t="s">
        <v>3105</v>
      </c>
      <c r="B1260" s="1" t="s">
        <v>3141</v>
      </c>
      <c r="C1260" s="1" t="s">
        <v>3142</v>
      </c>
      <c r="D1260" s="1" t="str">
        <f>"5855"</f>
        <v>5855</v>
      </c>
      <c r="E1260" s="1" t="str">
        <f>"015345931"</f>
        <v>015345931</v>
      </c>
      <c r="F1260" s="1" t="s">
        <v>703</v>
      </c>
      <c r="G1260" s="3" t="s">
        <v>15</v>
      </c>
      <c r="H1260" s="3" t="str">
        <f>"15"</f>
        <v>15</v>
      </c>
      <c r="I1260" s="4" t="str">
        <f>"976"</f>
        <v>976</v>
      </c>
      <c r="J1260" s="2">
        <v>45904</v>
      </c>
      <c r="K1260" s="1" t="s">
        <v>3143</v>
      </c>
    </row>
    <row r="1261" spans="1:11" x14ac:dyDescent="0.35">
      <c r="A1261" s="3" t="s">
        <v>3105</v>
      </c>
      <c r="B1261" s="1" t="s">
        <v>3141</v>
      </c>
      <c r="C1261" s="1" t="s">
        <v>3146</v>
      </c>
      <c r="D1261" s="1" t="str">
        <f>"5855"</f>
        <v>5855</v>
      </c>
      <c r="E1261" s="1" t="str">
        <f>"015380191"</f>
        <v>015380191</v>
      </c>
      <c r="F1261" s="1" t="s">
        <v>703</v>
      </c>
      <c r="G1261" s="3" t="s">
        <v>15</v>
      </c>
      <c r="H1261" s="3" t="str">
        <f>"4"</f>
        <v>4</v>
      </c>
      <c r="I1261" s="4" t="str">
        <f>"1082"</f>
        <v>1082</v>
      </c>
      <c r="J1261" s="2">
        <v>45904</v>
      </c>
      <c r="K1261" s="1" t="s">
        <v>3147</v>
      </c>
    </row>
    <row r="1262" spans="1:11" x14ac:dyDescent="0.35">
      <c r="A1262" s="3" t="s">
        <v>3105</v>
      </c>
      <c r="B1262" s="1" t="s">
        <v>3141</v>
      </c>
      <c r="C1262" s="1" t="s">
        <v>3149</v>
      </c>
      <c r="D1262" s="1" t="str">
        <f>"5855"</f>
        <v>5855</v>
      </c>
      <c r="E1262" s="1" t="str">
        <f>"015330555"</f>
        <v>015330555</v>
      </c>
      <c r="F1262" s="1" t="s">
        <v>2656</v>
      </c>
      <c r="G1262" s="3" t="s">
        <v>15</v>
      </c>
      <c r="H1262" s="3" t="str">
        <f>"8"</f>
        <v>8</v>
      </c>
      <c r="I1262" s="4" t="str">
        <f>"1800"</f>
        <v>1800</v>
      </c>
      <c r="J1262" s="2">
        <v>45904</v>
      </c>
      <c r="K1262" s="1" t="s">
        <v>3145</v>
      </c>
    </row>
    <row r="1263" spans="1:11" x14ac:dyDescent="0.35">
      <c r="A1263" s="3" t="s">
        <v>3105</v>
      </c>
      <c r="B1263" s="1" t="s">
        <v>3123</v>
      </c>
      <c r="C1263" s="1" t="s">
        <v>3127</v>
      </c>
      <c r="D1263" s="1" t="str">
        <f>"6115"</f>
        <v>6115</v>
      </c>
      <c r="E1263" s="1" t="str">
        <f>"012747388"</f>
        <v>012747388</v>
      </c>
      <c r="F1263" s="1" t="s">
        <v>435</v>
      </c>
      <c r="G1263" s="3" t="s">
        <v>15</v>
      </c>
      <c r="H1263" s="3" t="str">
        <f>"3"</f>
        <v>3</v>
      </c>
      <c r="I1263" s="4" t="str">
        <f>"16160"</f>
        <v>16160</v>
      </c>
      <c r="J1263" s="2">
        <v>45902</v>
      </c>
      <c r="K1263" s="1" t="s">
        <v>3128</v>
      </c>
    </row>
    <row r="1264" spans="1:11" x14ac:dyDescent="0.35">
      <c r="A1264" s="3" t="s">
        <v>3105</v>
      </c>
      <c r="B1264" s="1" t="s">
        <v>3154</v>
      </c>
      <c r="C1264" s="1" t="s">
        <v>3165</v>
      </c>
      <c r="D1264" s="1" t="str">
        <f>"4910"</f>
        <v>4910</v>
      </c>
      <c r="E1264" s="1" t="str">
        <f>"002516981"</f>
        <v>002516981</v>
      </c>
      <c r="F1264" s="1" t="s">
        <v>3166</v>
      </c>
      <c r="G1264" s="3" t="s">
        <v>15</v>
      </c>
      <c r="H1264" s="3" t="str">
        <f>"8"</f>
        <v>8</v>
      </c>
      <c r="I1264" s="4">
        <v>74.36</v>
      </c>
      <c r="J1264" s="2">
        <v>45897</v>
      </c>
      <c r="K1264" s="1" t="s">
        <v>3167</v>
      </c>
    </row>
    <row r="1265" spans="1:11" x14ac:dyDescent="0.35">
      <c r="A1265" s="3" t="s">
        <v>3105</v>
      </c>
      <c r="B1265" s="1" t="s">
        <v>3154</v>
      </c>
      <c r="C1265" s="1" t="s">
        <v>3168</v>
      </c>
      <c r="D1265" s="1" t="str">
        <f>"5180"</f>
        <v>5180</v>
      </c>
      <c r="E1265" s="1" t="str">
        <f>"006995273"</f>
        <v>006995273</v>
      </c>
      <c r="F1265" s="1" t="s">
        <v>222</v>
      </c>
      <c r="G1265" s="3" t="s">
        <v>19</v>
      </c>
      <c r="H1265" s="3" t="str">
        <f>"4"</f>
        <v>4</v>
      </c>
      <c r="I1265" s="4" t="str">
        <f>"2383"</f>
        <v>2383</v>
      </c>
      <c r="J1265" s="2">
        <v>45897</v>
      </c>
      <c r="K1265" s="1" t="s">
        <v>3169</v>
      </c>
    </row>
    <row r="1266" spans="1:11" x14ac:dyDescent="0.35">
      <c r="A1266" s="3" t="s">
        <v>3105</v>
      </c>
      <c r="B1266" s="1" t="s">
        <v>3129</v>
      </c>
      <c r="C1266" s="1" t="s">
        <v>3130</v>
      </c>
      <c r="D1266" s="1" t="str">
        <f>"2310"</f>
        <v>2310</v>
      </c>
      <c r="E1266" s="1" t="s">
        <v>413</v>
      </c>
      <c r="F1266" s="1" t="s">
        <v>414</v>
      </c>
      <c r="G1266" s="3" t="s">
        <v>15</v>
      </c>
      <c r="H1266" s="3" t="str">
        <f>"1"</f>
        <v>1</v>
      </c>
      <c r="I1266" s="4" t="str">
        <f>"15000"</f>
        <v>15000</v>
      </c>
      <c r="J1266" s="2">
        <v>45896</v>
      </c>
      <c r="K1266" s="1" t="s">
        <v>3131</v>
      </c>
    </row>
    <row r="1267" spans="1:11" x14ac:dyDescent="0.35">
      <c r="A1267" s="3" t="s">
        <v>3105</v>
      </c>
      <c r="B1267" s="1" t="s">
        <v>3154</v>
      </c>
      <c r="C1267" s="1" t="s">
        <v>3161</v>
      </c>
      <c r="D1267" s="1" t="str">
        <f>"3750"</f>
        <v>3750</v>
      </c>
      <c r="E1267" s="1" t="s">
        <v>3162</v>
      </c>
      <c r="F1267" s="1" t="s">
        <v>3163</v>
      </c>
      <c r="G1267" s="3" t="s">
        <v>15</v>
      </c>
      <c r="H1267" s="3" t="str">
        <f>"1"</f>
        <v>1</v>
      </c>
      <c r="I1267" s="4" t="str">
        <f>"200"</f>
        <v>200</v>
      </c>
      <c r="J1267" s="2">
        <v>45888</v>
      </c>
      <c r="K1267" s="1" t="s">
        <v>3164</v>
      </c>
    </row>
    <row r="1268" spans="1:11" x14ac:dyDescent="0.35">
      <c r="A1268" s="3" t="s">
        <v>3105</v>
      </c>
      <c r="B1268" s="1" t="s">
        <v>3154</v>
      </c>
      <c r="C1268" s="1" t="s">
        <v>3170</v>
      </c>
      <c r="D1268" s="1" t="str">
        <f>"5965"</f>
        <v>5965</v>
      </c>
      <c r="E1268" s="1" t="s">
        <v>2193</v>
      </c>
      <c r="F1268" s="1" t="s">
        <v>2194</v>
      </c>
      <c r="G1268" s="3" t="s">
        <v>15</v>
      </c>
      <c r="H1268" s="3" t="str">
        <f>"4"</f>
        <v>4</v>
      </c>
      <c r="I1268" s="4" t="str">
        <f>"1450"</f>
        <v>1450</v>
      </c>
      <c r="J1268" s="2">
        <v>45888</v>
      </c>
      <c r="K1268" s="1" t="s">
        <v>3171</v>
      </c>
    </row>
    <row r="1269" spans="1:11" x14ac:dyDescent="0.35">
      <c r="A1269" s="3" t="s">
        <v>3105</v>
      </c>
      <c r="B1269" s="1" t="s">
        <v>3129</v>
      </c>
      <c r="C1269" s="1" t="s">
        <v>3132</v>
      </c>
      <c r="D1269" s="1" t="str">
        <f>"2310"</f>
        <v>2310</v>
      </c>
      <c r="E1269" s="1" t="s">
        <v>413</v>
      </c>
      <c r="F1269" s="1" t="s">
        <v>414</v>
      </c>
      <c r="G1269" s="3" t="s">
        <v>15</v>
      </c>
      <c r="H1269" s="3" t="str">
        <f>"1"</f>
        <v>1</v>
      </c>
      <c r="I1269" s="4">
        <v>1016.14</v>
      </c>
      <c r="J1269" s="2">
        <v>45882</v>
      </c>
      <c r="K1269" s="1" t="s">
        <v>3133</v>
      </c>
    </row>
    <row r="1270" spans="1:11" x14ac:dyDescent="0.35">
      <c r="A1270" s="3" t="s">
        <v>3105</v>
      </c>
      <c r="B1270" s="1" t="s">
        <v>3106</v>
      </c>
      <c r="C1270" s="1" t="s">
        <v>3107</v>
      </c>
      <c r="D1270" s="1" t="str">
        <f>"5140"</f>
        <v>5140</v>
      </c>
      <c r="E1270" s="1" t="s">
        <v>161</v>
      </c>
      <c r="F1270" s="1" t="s">
        <v>162</v>
      </c>
      <c r="G1270" s="3" t="s">
        <v>15</v>
      </c>
      <c r="H1270" s="3" t="str">
        <f>"2"</f>
        <v>2</v>
      </c>
      <c r="I1270" s="4" t="str">
        <f>"250"</f>
        <v>250</v>
      </c>
      <c r="J1270" s="2">
        <v>45877</v>
      </c>
      <c r="K1270" s="1" t="s">
        <v>3108</v>
      </c>
    </row>
    <row r="1271" spans="1:11" x14ac:dyDescent="0.35">
      <c r="A1271" s="3" t="s">
        <v>3105</v>
      </c>
      <c r="B1271" s="1" t="s">
        <v>3106</v>
      </c>
      <c r="C1271" s="1" t="s">
        <v>3109</v>
      </c>
      <c r="D1271" s="1" t="str">
        <f>"5140"</f>
        <v>5140</v>
      </c>
      <c r="E1271" s="1" t="s">
        <v>161</v>
      </c>
      <c r="F1271" s="1" t="s">
        <v>162</v>
      </c>
      <c r="G1271" s="3" t="s">
        <v>15</v>
      </c>
      <c r="H1271" s="3" t="str">
        <f>"2"</f>
        <v>2</v>
      </c>
      <c r="I1271" s="4" t="str">
        <f>"250"</f>
        <v>250</v>
      </c>
      <c r="J1271" s="2">
        <v>45877</v>
      </c>
      <c r="K1271" s="1" t="s">
        <v>3110</v>
      </c>
    </row>
    <row r="1272" spans="1:11" x14ac:dyDescent="0.35">
      <c r="A1272" s="3" t="s">
        <v>3105</v>
      </c>
      <c r="B1272" s="1" t="s">
        <v>3151</v>
      </c>
      <c r="C1272" s="1" t="s">
        <v>3152</v>
      </c>
      <c r="D1272" s="1" t="str">
        <f>"8115"</f>
        <v>8115</v>
      </c>
      <c r="E1272" s="1" t="s">
        <v>1422</v>
      </c>
      <c r="F1272" s="1" t="s">
        <v>1423</v>
      </c>
      <c r="G1272" s="3" t="s">
        <v>15</v>
      </c>
      <c r="H1272" s="3" t="str">
        <f>"9"</f>
        <v>9</v>
      </c>
      <c r="I1272" s="4" t="str">
        <f>"100"</f>
        <v>100</v>
      </c>
      <c r="J1272" s="2">
        <v>45875</v>
      </c>
      <c r="K1272" s="1" t="s">
        <v>3153</v>
      </c>
    </row>
    <row r="1273" spans="1:11" x14ac:dyDescent="0.35">
      <c r="A1273" s="3" t="s">
        <v>3105</v>
      </c>
      <c r="B1273" s="1" t="s">
        <v>3118</v>
      </c>
      <c r="C1273" s="1" t="s">
        <v>3119</v>
      </c>
      <c r="D1273" s="1" t="str">
        <f>"1385"</f>
        <v>1385</v>
      </c>
      <c r="E1273" s="1" t="s">
        <v>3120</v>
      </c>
      <c r="F1273" s="1" t="s">
        <v>3121</v>
      </c>
      <c r="G1273" s="3" t="s">
        <v>15</v>
      </c>
      <c r="H1273" s="3" t="str">
        <f>"1"</f>
        <v>1</v>
      </c>
      <c r="I1273" s="4" t="str">
        <f>"150000"</f>
        <v>150000</v>
      </c>
      <c r="J1273" s="2">
        <v>45870</v>
      </c>
      <c r="K1273" s="1" t="s">
        <v>3122</v>
      </c>
    </row>
    <row r="1274" spans="1:11" x14ac:dyDescent="0.35">
      <c r="A1274" s="3" t="s">
        <v>3105</v>
      </c>
      <c r="B1274" s="1" t="s">
        <v>3138</v>
      </c>
      <c r="C1274" s="1" t="s">
        <v>3139</v>
      </c>
      <c r="D1274" s="1" t="str">
        <f>"4240"</f>
        <v>4240</v>
      </c>
      <c r="E1274" s="1" t="str">
        <f>"015107844"</f>
        <v>015107844</v>
      </c>
      <c r="F1274" s="1" t="s">
        <v>211</v>
      </c>
      <c r="G1274" s="3" t="s">
        <v>15</v>
      </c>
      <c r="H1274" s="3" t="str">
        <f>"36"</f>
        <v>36</v>
      </c>
      <c r="I1274" s="4">
        <v>72.36</v>
      </c>
      <c r="J1274" s="2">
        <v>45846</v>
      </c>
      <c r="K1274" s="1" t="s">
        <v>3140</v>
      </c>
    </row>
    <row r="1275" spans="1:11" x14ac:dyDescent="0.35">
      <c r="A1275" s="3" t="s">
        <v>3179</v>
      </c>
      <c r="B1275" s="1" t="s">
        <v>3180</v>
      </c>
      <c r="C1275" s="1" t="s">
        <v>3181</v>
      </c>
      <c r="D1275" s="1" t="str">
        <f>"5855"</f>
        <v>5855</v>
      </c>
      <c r="E1275" s="1" t="str">
        <f>"015345931"</f>
        <v>015345931</v>
      </c>
      <c r="F1275" s="1" t="s">
        <v>703</v>
      </c>
      <c r="G1275" s="3" t="s">
        <v>15</v>
      </c>
      <c r="H1275" s="3" t="str">
        <f>"15"</f>
        <v>15</v>
      </c>
      <c r="I1275" s="4" t="str">
        <f>"976"</f>
        <v>976</v>
      </c>
      <c r="J1275" s="2">
        <v>45847</v>
      </c>
      <c r="K1275" s="1" t="s">
        <v>3182</v>
      </c>
    </row>
    <row r="1276" spans="1:11" x14ac:dyDescent="0.35">
      <c r="A1276" s="3" t="s">
        <v>3183</v>
      </c>
      <c r="B1276" s="1" t="s">
        <v>3435</v>
      </c>
      <c r="C1276" s="1" t="s">
        <v>3460</v>
      </c>
      <c r="D1276" s="1" t="str">
        <f>"2340"</f>
        <v>2340</v>
      </c>
      <c r="E1276" s="1" t="s">
        <v>278</v>
      </c>
      <c r="F1276" s="1" t="s">
        <v>279</v>
      </c>
      <c r="G1276" s="3" t="s">
        <v>15</v>
      </c>
      <c r="H1276" s="3" t="str">
        <f>"1"</f>
        <v>1</v>
      </c>
      <c r="I1276" s="4">
        <v>12315.66</v>
      </c>
      <c r="J1276" s="2">
        <v>45926</v>
      </c>
      <c r="K1276" s="1" t="s">
        <v>3461</v>
      </c>
    </row>
    <row r="1277" spans="1:11" x14ac:dyDescent="0.35">
      <c r="A1277" s="3" t="s">
        <v>3183</v>
      </c>
      <c r="B1277" s="1" t="s">
        <v>3435</v>
      </c>
      <c r="C1277" s="1" t="s">
        <v>3467</v>
      </c>
      <c r="D1277" s="1" t="str">
        <f>"3805"</f>
        <v>3805</v>
      </c>
      <c r="E1277" s="1" t="str">
        <f>"015497814"</f>
        <v>015497814</v>
      </c>
      <c r="F1277" s="1" t="s">
        <v>587</v>
      </c>
      <c r="G1277" s="3" t="s">
        <v>15</v>
      </c>
      <c r="H1277" s="3" t="str">
        <f>"1"</f>
        <v>1</v>
      </c>
      <c r="I1277" s="4" t="str">
        <f>"123508"</f>
        <v>123508</v>
      </c>
      <c r="J1277" s="2">
        <v>45926</v>
      </c>
      <c r="K1277" s="1" t="s">
        <v>3468</v>
      </c>
    </row>
    <row r="1278" spans="1:11" x14ac:dyDescent="0.35">
      <c r="A1278" s="3" t="s">
        <v>3183</v>
      </c>
      <c r="B1278" s="1" t="s">
        <v>3184</v>
      </c>
      <c r="C1278" s="1" t="s">
        <v>3199</v>
      </c>
      <c r="D1278" s="1" t="str">
        <f>"2340"</f>
        <v>2340</v>
      </c>
      <c r="E1278" s="1" t="s">
        <v>3200</v>
      </c>
      <c r="F1278" s="1" t="s">
        <v>3201</v>
      </c>
      <c r="G1278" s="3" t="s">
        <v>15</v>
      </c>
      <c r="H1278" s="3" t="str">
        <f>"1"</f>
        <v>1</v>
      </c>
      <c r="I1278" s="4" t="str">
        <f>"4500"</f>
        <v>4500</v>
      </c>
      <c r="J1278" s="2">
        <v>45924</v>
      </c>
      <c r="K1278" s="1" t="s">
        <v>3202</v>
      </c>
    </row>
    <row r="1279" spans="1:11" x14ac:dyDescent="0.35">
      <c r="A1279" s="3" t="s">
        <v>3183</v>
      </c>
      <c r="B1279" s="1" t="s">
        <v>3256</v>
      </c>
      <c r="C1279" s="1" t="s">
        <v>3265</v>
      </c>
      <c r="D1279" s="1" t="str">
        <f>"2330"</f>
        <v>2330</v>
      </c>
      <c r="E1279" s="1" t="s">
        <v>70</v>
      </c>
      <c r="F1279" s="1" t="s">
        <v>71</v>
      </c>
      <c r="G1279" s="3" t="s">
        <v>15</v>
      </c>
      <c r="H1279" s="3" t="str">
        <f>"1"</f>
        <v>1</v>
      </c>
      <c r="I1279" s="4" t="str">
        <f>"5000"</f>
        <v>5000</v>
      </c>
      <c r="J1279" s="2">
        <v>45924</v>
      </c>
      <c r="K1279" s="1" t="s">
        <v>3266</v>
      </c>
    </row>
    <row r="1280" spans="1:11" x14ac:dyDescent="0.35">
      <c r="A1280" s="3" t="s">
        <v>3183</v>
      </c>
      <c r="B1280" s="1" t="s">
        <v>3256</v>
      </c>
      <c r="C1280" s="1" t="s">
        <v>3271</v>
      </c>
      <c r="D1280" s="1" t="str">
        <f>"3750"</f>
        <v>3750</v>
      </c>
      <c r="E1280" s="1" t="s">
        <v>392</v>
      </c>
      <c r="F1280" s="1" t="s">
        <v>393</v>
      </c>
      <c r="G1280" s="3" t="s">
        <v>15</v>
      </c>
      <c r="H1280" s="3" t="str">
        <f>"1"</f>
        <v>1</v>
      </c>
      <c r="I1280" s="4" t="str">
        <f>"6500"</f>
        <v>6500</v>
      </c>
      <c r="J1280" s="2">
        <v>45924</v>
      </c>
      <c r="K1280" s="1" t="s">
        <v>3272</v>
      </c>
    </row>
    <row r="1281" spans="1:11" x14ac:dyDescent="0.35">
      <c r="A1281" s="3" t="s">
        <v>3183</v>
      </c>
      <c r="B1281" s="1" t="s">
        <v>3297</v>
      </c>
      <c r="C1281" s="1" t="s">
        <v>3300</v>
      </c>
      <c r="D1281" s="1" t="str">
        <f>"3805"</f>
        <v>3805</v>
      </c>
      <c r="E1281" s="1" t="s">
        <v>2913</v>
      </c>
      <c r="F1281" s="1" t="s">
        <v>2914</v>
      </c>
      <c r="G1281" s="3" t="s">
        <v>15</v>
      </c>
      <c r="H1281" s="3" t="str">
        <f>"1"</f>
        <v>1</v>
      </c>
      <c r="I1281" s="4" t="str">
        <f>"32000"</f>
        <v>32000</v>
      </c>
      <c r="J1281" s="2">
        <v>45924</v>
      </c>
      <c r="K1281" s="1" t="s">
        <v>3301</v>
      </c>
    </row>
    <row r="1282" spans="1:11" x14ac:dyDescent="0.35">
      <c r="A1282" s="3" t="s">
        <v>3183</v>
      </c>
      <c r="B1282" s="1" t="s">
        <v>3487</v>
      </c>
      <c r="C1282" s="1" t="s">
        <v>3488</v>
      </c>
      <c r="D1282" s="1" t="str">
        <f>"2320"</f>
        <v>2320</v>
      </c>
      <c r="E1282" s="1" t="s">
        <v>274</v>
      </c>
      <c r="F1282" s="1" t="s">
        <v>275</v>
      </c>
      <c r="G1282" s="3" t="s">
        <v>15</v>
      </c>
      <c r="H1282" s="3" t="str">
        <f>"1"</f>
        <v>1</v>
      </c>
      <c r="I1282" s="4">
        <v>29331.41</v>
      </c>
      <c r="J1282" s="2">
        <v>45924</v>
      </c>
      <c r="K1282" s="1" t="s">
        <v>3489</v>
      </c>
    </row>
    <row r="1283" spans="1:11" x14ac:dyDescent="0.35">
      <c r="A1283" s="3" t="s">
        <v>3183</v>
      </c>
      <c r="B1283" s="1" t="s">
        <v>3316</v>
      </c>
      <c r="C1283" s="1" t="s">
        <v>3317</v>
      </c>
      <c r="D1283" s="1" t="str">
        <f>"1520"</f>
        <v>1520</v>
      </c>
      <c r="E1283" s="1" t="s">
        <v>3318</v>
      </c>
      <c r="F1283" s="1" t="s">
        <v>3319</v>
      </c>
      <c r="G1283" s="3" t="s">
        <v>15</v>
      </c>
      <c r="H1283" s="3" t="str">
        <f>"1"</f>
        <v>1</v>
      </c>
      <c r="I1283" s="4" t="str">
        <f>"1200000"</f>
        <v>1200000</v>
      </c>
      <c r="J1283" s="2">
        <v>45923</v>
      </c>
      <c r="K1283" s="1" t="s">
        <v>3320</v>
      </c>
    </row>
    <row r="1284" spans="1:11" x14ac:dyDescent="0.35">
      <c r="A1284" s="3" t="s">
        <v>3183</v>
      </c>
      <c r="B1284" s="1" t="s">
        <v>3376</v>
      </c>
      <c r="C1284" s="1" t="s">
        <v>3400</v>
      </c>
      <c r="D1284" s="1" t="str">
        <f>"6115"</f>
        <v>6115</v>
      </c>
      <c r="E1284" s="1" t="str">
        <f>"014620291"</f>
        <v>014620291</v>
      </c>
      <c r="F1284" s="1" t="s">
        <v>435</v>
      </c>
      <c r="G1284" s="3" t="s">
        <v>15</v>
      </c>
      <c r="H1284" s="3" t="str">
        <f>"8"</f>
        <v>8</v>
      </c>
      <c r="I1284" s="4" t="str">
        <f>"25073"</f>
        <v>25073</v>
      </c>
      <c r="J1284" s="2">
        <v>45923</v>
      </c>
      <c r="K1284" s="1" t="s">
        <v>3401</v>
      </c>
    </row>
    <row r="1285" spans="1:11" x14ac:dyDescent="0.35">
      <c r="A1285" s="3" t="s">
        <v>3183</v>
      </c>
      <c r="B1285" s="1" t="s">
        <v>3425</v>
      </c>
      <c r="C1285" s="1" t="s">
        <v>3429</v>
      </c>
      <c r="D1285" s="1" t="str">
        <f>"2340"</f>
        <v>2340</v>
      </c>
      <c r="E1285" s="1" t="str">
        <f>"015714220"</f>
        <v>015714220</v>
      </c>
      <c r="F1285" s="1" t="s">
        <v>2167</v>
      </c>
      <c r="G1285" s="3" t="s">
        <v>15</v>
      </c>
      <c r="H1285" s="3" t="str">
        <f>"1"</f>
        <v>1</v>
      </c>
      <c r="I1285" s="4" t="str">
        <f>"14800"</f>
        <v>14800</v>
      </c>
      <c r="J1285" s="2">
        <v>45923</v>
      </c>
      <c r="K1285" s="1" t="s">
        <v>3430</v>
      </c>
    </row>
    <row r="1286" spans="1:11" x14ac:dyDescent="0.35">
      <c r="A1286" s="3" t="s">
        <v>3183</v>
      </c>
      <c r="B1286" s="1" t="s">
        <v>3425</v>
      </c>
      <c r="C1286" s="1" t="s">
        <v>3431</v>
      </c>
      <c r="D1286" s="1" t="str">
        <f>"2340"</f>
        <v>2340</v>
      </c>
      <c r="E1286" s="1" t="str">
        <f>"015714220"</f>
        <v>015714220</v>
      </c>
      <c r="F1286" s="1" t="s">
        <v>2167</v>
      </c>
      <c r="G1286" s="3" t="s">
        <v>15</v>
      </c>
      <c r="H1286" s="3" t="str">
        <f>"1"</f>
        <v>1</v>
      </c>
      <c r="I1286" s="4" t="str">
        <f>"14800"</f>
        <v>14800</v>
      </c>
      <c r="J1286" s="2">
        <v>45923</v>
      </c>
      <c r="K1286" s="1" t="s">
        <v>3430</v>
      </c>
    </row>
    <row r="1287" spans="1:11" x14ac:dyDescent="0.35">
      <c r="A1287" s="3" t="s">
        <v>3183</v>
      </c>
      <c r="B1287" s="1" t="s">
        <v>3432</v>
      </c>
      <c r="C1287" s="1" t="s">
        <v>3433</v>
      </c>
      <c r="D1287" s="1" t="str">
        <f>"4240"</f>
        <v>4240</v>
      </c>
      <c r="E1287" s="1" t="s">
        <v>1105</v>
      </c>
      <c r="F1287" s="1" t="s">
        <v>1106</v>
      </c>
      <c r="G1287" s="3" t="s">
        <v>15</v>
      </c>
      <c r="H1287" s="3" t="str">
        <f>"4"</f>
        <v>4</v>
      </c>
      <c r="I1287" s="4" t="str">
        <f>"250"</f>
        <v>250</v>
      </c>
      <c r="J1287" s="2">
        <v>45923</v>
      </c>
      <c r="K1287" s="1" t="s">
        <v>3434</v>
      </c>
    </row>
    <row r="1288" spans="1:11" x14ac:dyDescent="0.35">
      <c r="A1288" s="3" t="s">
        <v>3183</v>
      </c>
      <c r="B1288" s="1" t="s">
        <v>3435</v>
      </c>
      <c r="C1288" s="1" t="s">
        <v>3450</v>
      </c>
      <c r="D1288" s="1" t="str">
        <f>"2320"</f>
        <v>2320</v>
      </c>
      <c r="E1288" s="1" t="str">
        <f>"005802954"</f>
        <v>005802954</v>
      </c>
      <c r="F1288" s="1" t="s">
        <v>373</v>
      </c>
      <c r="G1288" s="3" t="s">
        <v>15</v>
      </c>
      <c r="H1288" s="3" t="str">
        <f>"1"</f>
        <v>1</v>
      </c>
      <c r="I1288" s="4" t="str">
        <f>"29097"</f>
        <v>29097</v>
      </c>
      <c r="J1288" s="2">
        <v>45923</v>
      </c>
      <c r="K1288" s="1" t="s">
        <v>3451</v>
      </c>
    </row>
    <row r="1289" spans="1:11" x14ac:dyDescent="0.35">
      <c r="A1289" s="3" t="s">
        <v>3183</v>
      </c>
      <c r="B1289" s="1" t="s">
        <v>3297</v>
      </c>
      <c r="C1289" s="1" t="s">
        <v>3302</v>
      </c>
      <c r="D1289" s="1" t="str">
        <f>"3805"</f>
        <v>3805</v>
      </c>
      <c r="E1289" s="1" t="s">
        <v>2913</v>
      </c>
      <c r="F1289" s="1" t="s">
        <v>2914</v>
      </c>
      <c r="G1289" s="3" t="s">
        <v>15</v>
      </c>
      <c r="H1289" s="3" t="str">
        <f>"1"</f>
        <v>1</v>
      </c>
      <c r="I1289" s="4">
        <v>959.2</v>
      </c>
      <c r="J1289" s="2">
        <v>45922</v>
      </c>
      <c r="K1289" s="1" t="s">
        <v>3303</v>
      </c>
    </row>
    <row r="1290" spans="1:11" x14ac:dyDescent="0.35">
      <c r="A1290" s="3" t="s">
        <v>3183</v>
      </c>
      <c r="B1290" s="1" t="s">
        <v>3256</v>
      </c>
      <c r="C1290" s="1" t="s">
        <v>3295</v>
      </c>
      <c r="D1290" s="1" t="str">
        <f>"8145"</f>
        <v>8145</v>
      </c>
      <c r="E1290" s="1" t="s">
        <v>1602</v>
      </c>
      <c r="F1290" s="1" t="s">
        <v>1603</v>
      </c>
      <c r="G1290" s="3" t="s">
        <v>15</v>
      </c>
      <c r="H1290" s="3" t="str">
        <f>"50"</f>
        <v>50</v>
      </c>
      <c r="I1290" s="4" t="str">
        <f>"200"</f>
        <v>200</v>
      </c>
      <c r="J1290" s="2">
        <v>45919</v>
      </c>
      <c r="K1290" s="1" t="s">
        <v>3296</v>
      </c>
    </row>
    <row r="1291" spans="1:11" x14ac:dyDescent="0.35">
      <c r="A1291" s="3" t="s">
        <v>3183</v>
      </c>
      <c r="B1291" s="1" t="s">
        <v>3184</v>
      </c>
      <c r="C1291" s="1" t="s">
        <v>3226</v>
      </c>
      <c r="D1291" s="1" t="str">
        <f>"8415"</f>
        <v>8415</v>
      </c>
      <c r="E1291" s="1" t="s">
        <v>1359</v>
      </c>
      <c r="F1291" s="1" t="s">
        <v>1360</v>
      </c>
      <c r="G1291" s="3" t="s">
        <v>15</v>
      </c>
      <c r="H1291" s="3" t="str">
        <f>"300"</f>
        <v>300</v>
      </c>
      <c r="I1291" s="4">
        <v>16.41</v>
      </c>
      <c r="J1291" s="2">
        <v>45918</v>
      </c>
      <c r="K1291" s="1" t="s">
        <v>3227</v>
      </c>
    </row>
    <row r="1292" spans="1:11" x14ac:dyDescent="0.35">
      <c r="A1292" s="3" t="s">
        <v>3183</v>
      </c>
      <c r="B1292" s="1" t="s">
        <v>3311</v>
      </c>
      <c r="C1292" s="1" t="s">
        <v>3314</v>
      </c>
      <c r="D1292" s="1" t="str">
        <f>"2340"</f>
        <v>2340</v>
      </c>
      <c r="E1292" s="1" t="str">
        <f>"015746673"</f>
        <v>015746673</v>
      </c>
      <c r="F1292" s="1" t="s">
        <v>2167</v>
      </c>
      <c r="G1292" s="3" t="s">
        <v>15</v>
      </c>
      <c r="H1292" s="3" t="str">
        <f>"2"</f>
        <v>2</v>
      </c>
      <c r="I1292" s="4" t="str">
        <f>"11365"</f>
        <v>11365</v>
      </c>
      <c r="J1292" s="2">
        <v>45918</v>
      </c>
      <c r="K1292" s="1" t="s">
        <v>3315</v>
      </c>
    </row>
    <row r="1293" spans="1:11" x14ac:dyDescent="0.35">
      <c r="A1293" s="3" t="s">
        <v>3183</v>
      </c>
      <c r="B1293" s="1" t="s">
        <v>3376</v>
      </c>
      <c r="C1293" s="1" t="s">
        <v>3377</v>
      </c>
      <c r="D1293" s="1" t="str">
        <f>"1005"</f>
        <v>1005</v>
      </c>
      <c r="E1293" s="1" t="s">
        <v>3378</v>
      </c>
      <c r="F1293" s="1" t="s">
        <v>3379</v>
      </c>
      <c r="G1293" s="3" t="s">
        <v>15</v>
      </c>
      <c r="H1293" s="3" t="str">
        <f>"26"</f>
        <v>26</v>
      </c>
      <c r="I1293" s="4" t="str">
        <f>"1110"</f>
        <v>1110</v>
      </c>
      <c r="J1293" s="2">
        <v>45918</v>
      </c>
      <c r="K1293" s="1" t="s">
        <v>3380</v>
      </c>
    </row>
    <row r="1294" spans="1:11" x14ac:dyDescent="0.35">
      <c r="A1294" s="3" t="s">
        <v>3183</v>
      </c>
      <c r="B1294" s="1" t="s">
        <v>3376</v>
      </c>
      <c r="C1294" s="1" t="s">
        <v>3393</v>
      </c>
      <c r="D1294" s="1" t="str">
        <f>"5140"</f>
        <v>5140</v>
      </c>
      <c r="E1294" s="1" t="s">
        <v>161</v>
      </c>
      <c r="F1294" s="1" t="s">
        <v>162</v>
      </c>
      <c r="G1294" s="3" t="s">
        <v>15</v>
      </c>
      <c r="H1294" s="3" t="str">
        <f>"2"</f>
        <v>2</v>
      </c>
      <c r="I1294" s="4">
        <v>3119.29</v>
      </c>
      <c r="J1294" s="2">
        <v>45918</v>
      </c>
      <c r="K1294" s="1" t="s">
        <v>3394</v>
      </c>
    </row>
    <row r="1295" spans="1:11" x14ac:dyDescent="0.35">
      <c r="A1295" s="3" t="s">
        <v>3183</v>
      </c>
      <c r="B1295" s="1" t="s">
        <v>3376</v>
      </c>
      <c r="C1295" s="1" t="s">
        <v>3395</v>
      </c>
      <c r="D1295" s="1" t="str">
        <f>"5140"</f>
        <v>5140</v>
      </c>
      <c r="E1295" s="1" t="s">
        <v>161</v>
      </c>
      <c r="F1295" s="1" t="s">
        <v>162</v>
      </c>
      <c r="G1295" s="3" t="s">
        <v>15</v>
      </c>
      <c r="H1295" s="3" t="str">
        <f>"4"</f>
        <v>4</v>
      </c>
      <c r="I1295" s="4">
        <v>1245.4000000000001</v>
      </c>
      <c r="J1295" s="2">
        <v>45918</v>
      </c>
      <c r="K1295" s="1" t="s">
        <v>3396</v>
      </c>
    </row>
    <row r="1296" spans="1:11" x14ac:dyDescent="0.35">
      <c r="A1296" s="3" t="s">
        <v>3183</v>
      </c>
      <c r="B1296" s="1" t="s">
        <v>3495</v>
      </c>
      <c r="C1296" s="1" t="s">
        <v>3498</v>
      </c>
      <c r="D1296" s="1" t="str">
        <f>"2320"</f>
        <v>2320</v>
      </c>
      <c r="E1296" s="1" t="s">
        <v>3361</v>
      </c>
      <c r="F1296" s="1" t="s">
        <v>3362</v>
      </c>
      <c r="G1296" s="3" t="s">
        <v>15</v>
      </c>
      <c r="H1296" s="3" t="str">
        <f>"1"</f>
        <v>1</v>
      </c>
      <c r="I1296" s="4" t="str">
        <f>"957600"</f>
        <v>957600</v>
      </c>
      <c r="J1296" s="2">
        <v>45918</v>
      </c>
      <c r="K1296" s="1" t="s">
        <v>3499</v>
      </c>
    </row>
    <row r="1297" spans="1:11" x14ac:dyDescent="0.35">
      <c r="A1297" s="3" t="s">
        <v>3183</v>
      </c>
      <c r="B1297" s="1" t="s">
        <v>3241</v>
      </c>
      <c r="C1297" s="1" t="s">
        <v>3248</v>
      </c>
      <c r="D1297" s="1" t="str">
        <f>"2340"</f>
        <v>2340</v>
      </c>
      <c r="E1297" s="1" t="s">
        <v>2003</v>
      </c>
      <c r="F1297" s="1" t="s">
        <v>2004</v>
      </c>
      <c r="G1297" s="3" t="s">
        <v>15</v>
      </c>
      <c r="H1297" s="3" t="str">
        <f>"2"</f>
        <v>2</v>
      </c>
      <c r="I1297" s="4" t="str">
        <f>"6999"</f>
        <v>6999</v>
      </c>
      <c r="J1297" s="2">
        <v>45916</v>
      </c>
      <c r="K1297" s="1" t="s">
        <v>3249</v>
      </c>
    </row>
    <row r="1298" spans="1:11" x14ac:dyDescent="0.35">
      <c r="A1298" s="3" t="s">
        <v>3183</v>
      </c>
      <c r="B1298" s="1" t="s">
        <v>3228</v>
      </c>
      <c r="C1298" s="1" t="s">
        <v>3231</v>
      </c>
      <c r="D1298" s="1" t="str">
        <f>"2320"</f>
        <v>2320</v>
      </c>
      <c r="E1298" s="1" t="str">
        <f>"014473888"</f>
        <v>014473888</v>
      </c>
      <c r="F1298" s="1" t="s">
        <v>373</v>
      </c>
      <c r="G1298" s="3" t="s">
        <v>15</v>
      </c>
      <c r="H1298" s="3" t="str">
        <f>"1"</f>
        <v>1</v>
      </c>
      <c r="I1298" s="4" t="str">
        <f>"149600"</f>
        <v>149600</v>
      </c>
      <c r="J1298" s="2">
        <v>45912</v>
      </c>
      <c r="K1298" s="1" t="s">
        <v>3232</v>
      </c>
    </row>
    <row r="1299" spans="1:11" x14ac:dyDescent="0.35">
      <c r="A1299" s="3" t="s">
        <v>3183</v>
      </c>
      <c r="B1299" s="1" t="s">
        <v>3435</v>
      </c>
      <c r="C1299" s="1" t="s">
        <v>3442</v>
      </c>
      <c r="D1299" s="1" t="str">
        <f>"2320"</f>
        <v>2320</v>
      </c>
      <c r="E1299" s="1" t="s">
        <v>321</v>
      </c>
      <c r="F1299" s="1" t="s">
        <v>322</v>
      </c>
      <c r="G1299" s="3" t="s">
        <v>15</v>
      </c>
      <c r="H1299" s="3" t="str">
        <f>"1"</f>
        <v>1</v>
      </c>
      <c r="I1299" s="4" t="str">
        <f>"46158"</f>
        <v>46158</v>
      </c>
      <c r="J1299" s="2">
        <v>45912</v>
      </c>
      <c r="K1299" s="1" t="s">
        <v>3443</v>
      </c>
    </row>
    <row r="1300" spans="1:11" x14ac:dyDescent="0.35">
      <c r="A1300" s="3" t="s">
        <v>3183</v>
      </c>
      <c r="B1300" s="1" t="s">
        <v>3435</v>
      </c>
      <c r="C1300" s="1" t="s">
        <v>3469</v>
      </c>
      <c r="D1300" s="1" t="str">
        <f>"4210"</f>
        <v>4210</v>
      </c>
      <c r="E1300" s="1" t="s">
        <v>3470</v>
      </c>
      <c r="F1300" s="1" t="s">
        <v>3471</v>
      </c>
      <c r="G1300" s="3" t="s">
        <v>15</v>
      </c>
      <c r="H1300" s="3" t="str">
        <f>"1"</f>
        <v>1</v>
      </c>
      <c r="I1300" s="4" t="str">
        <f>"181624"</f>
        <v>181624</v>
      </c>
      <c r="J1300" s="2">
        <v>45912</v>
      </c>
      <c r="K1300" s="1" t="s">
        <v>3472</v>
      </c>
    </row>
    <row r="1301" spans="1:11" x14ac:dyDescent="0.35">
      <c r="A1301" s="3" t="s">
        <v>3183</v>
      </c>
      <c r="B1301" s="1" t="s">
        <v>3241</v>
      </c>
      <c r="C1301" s="1" t="s">
        <v>3250</v>
      </c>
      <c r="D1301" s="1" t="str">
        <f>"2420"</f>
        <v>2420</v>
      </c>
      <c r="E1301" s="1" t="s">
        <v>405</v>
      </c>
      <c r="F1301" s="1" t="s">
        <v>406</v>
      </c>
      <c r="G1301" s="3" t="s">
        <v>15</v>
      </c>
      <c r="H1301" s="3" t="str">
        <f>"1"</f>
        <v>1</v>
      </c>
      <c r="I1301" s="4" t="str">
        <f>"15000"</f>
        <v>15000</v>
      </c>
      <c r="J1301" s="2">
        <v>45911</v>
      </c>
      <c r="K1301" s="1" t="s">
        <v>3251</v>
      </c>
    </row>
    <row r="1302" spans="1:11" x14ac:dyDescent="0.35">
      <c r="A1302" s="3" t="s">
        <v>3183</v>
      </c>
      <c r="B1302" s="1" t="s">
        <v>3364</v>
      </c>
      <c r="C1302" s="1" t="s">
        <v>3370</v>
      </c>
      <c r="D1302" s="1" t="str">
        <f>"5965"</f>
        <v>5965</v>
      </c>
      <c r="E1302" s="1" t="str">
        <f>"226296584"</f>
        <v>226296584</v>
      </c>
      <c r="F1302" s="1" t="s">
        <v>1389</v>
      </c>
      <c r="G1302" s="3" t="s">
        <v>15</v>
      </c>
      <c r="H1302" s="3" t="str">
        <f>"1"</f>
        <v>1</v>
      </c>
      <c r="I1302" s="4">
        <v>1567.84</v>
      </c>
      <c r="J1302" s="2">
        <v>45911</v>
      </c>
      <c r="K1302" s="1" t="s">
        <v>3371</v>
      </c>
    </row>
    <row r="1303" spans="1:11" x14ac:dyDescent="0.35">
      <c r="A1303" s="3" t="s">
        <v>3183</v>
      </c>
      <c r="B1303" s="1" t="s">
        <v>3364</v>
      </c>
      <c r="C1303" s="1" t="s">
        <v>3372</v>
      </c>
      <c r="D1303" s="1" t="str">
        <f>"6720"</f>
        <v>6720</v>
      </c>
      <c r="E1303" s="1" t="str">
        <f>"015908228"</f>
        <v>015908228</v>
      </c>
      <c r="F1303" s="1" t="s">
        <v>1550</v>
      </c>
      <c r="G1303" s="3" t="s">
        <v>15</v>
      </c>
      <c r="H1303" s="3" t="str">
        <f>"4"</f>
        <v>4</v>
      </c>
      <c r="I1303" s="4" t="str">
        <f>"1699"</f>
        <v>1699</v>
      </c>
      <c r="J1303" s="2">
        <v>45911</v>
      </c>
      <c r="K1303" s="1" t="s">
        <v>3373</v>
      </c>
    </row>
    <row r="1304" spans="1:11" x14ac:dyDescent="0.35">
      <c r="A1304" s="3" t="s">
        <v>3183</v>
      </c>
      <c r="B1304" s="1" t="s">
        <v>3364</v>
      </c>
      <c r="C1304" s="1" t="s">
        <v>3374</v>
      </c>
      <c r="D1304" s="1" t="str">
        <f>"6720"</f>
        <v>6720</v>
      </c>
      <c r="E1304" s="1" t="s">
        <v>443</v>
      </c>
      <c r="F1304" s="1" t="s">
        <v>444</v>
      </c>
      <c r="G1304" s="3" t="s">
        <v>15</v>
      </c>
      <c r="H1304" s="3" t="str">
        <f>"1"</f>
        <v>1</v>
      </c>
      <c r="I1304" s="4" t="str">
        <f>"2000"</f>
        <v>2000</v>
      </c>
      <c r="J1304" s="2">
        <v>45911</v>
      </c>
      <c r="K1304" s="1" t="s">
        <v>3375</v>
      </c>
    </row>
    <row r="1305" spans="1:11" x14ac:dyDescent="0.35">
      <c r="A1305" s="3" t="s">
        <v>3183</v>
      </c>
      <c r="B1305" s="1" t="s">
        <v>3435</v>
      </c>
      <c r="C1305" s="1" t="s">
        <v>3438</v>
      </c>
      <c r="D1305" s="1" t="str">
        <f>"1940"</f>
        <v>1940</v>
      </c>
      <c r="E1305" s="1" t="str">
        <f>"015991756"</f>
        <v>015991756</v>
      </c>
      <c r="F1305" s="1" t="s">
        <v>2263</v>
      </c>
      <c r="G1305" s="3" t="s">
        <v>15</v>
      </c>
      <c r="H1305" s="3" t="str">
        <f>"2"</f>
        <v>2</v>
      </c>
      <c r="I1305" s="4" t="str">
        <f>"10500"</f>
        <v>10500</v>
      </c>
      <c r="J1305" s="2">
        <v>45910</v>
      </c>
      <c r="K1305" s="1" t="s">
        <v>3439</v>
      </c>
    </row>
    <row r="1306" spans="1:11" x14ac:dyDescent="0.35">
      <c r="A1306" s="3" t="s">
        <v>3183</v>
      </c>
      <c r="B1306" s="1" t="s">
        <v>3435</v>
      </c>
      <c r="C1306" s="1" t="s">
        <v>3444</v>
      </c>
      <c r="D1306" s="1" t="str">
        <f>"2320"</f>
        <v>2320</v>
      </c>
      <c r="E1306" s="1" t="str">
        <f>"008116869"</f>
        <v>008116869</v>
      </c>
      <c r="F1306" s="1" t="s">
        <v>373</v>
      </c>
      <c r="G1306" s="3" t="s">
        <v>15</v>
      </c>
      <c r="H1306" s="3" t="str">
        <f>"1"</f>
        <v>1</v>
      </c>
      <c r="I1306" s="4" t="str">
        <f>"10436"</f>
        <v>10436</v>
      </c>
      <c r="J1306" s="2">
        <v>45910</v>
      </c>
      <c r="K1306" s="1" t="s">
        <v>3445</v>
      </c>
    </row>
    <row r="1307" spans="1:11" x14ac:dyDescent="0.35">
      <c r="A1307" s="3" t="s">
        <v>3183</v>
      </c>
      <c r="B1307" s="1" t="s">
        <v>3435</v>
      </c>
      <c r="C1307" s="1" t="s">
        <v>3458</v>
      </c>
      <c r="D1307" s="1" t="str">
        <f>"2340"</f>
        <v>2340</v>
      </c>
      <c r="E1307" s="1" t="s">
        <v>647</v>
      </c>
      <c r="F1307" s="1" t="s">
        <v>648</v>
      </c>
      <c r="G1307" s="3" t="s">
        <v>15</v>
      </c>
      <c r="H1307" s="3" t="str">
        <f>"1"</f>
        <v>1</v>
      </c>
      <c r="I1307" s="4">
        <v>10400.36</v>
      </c>
      <c r="J1307" s="2">
        <v>45910</v>
      </c>
      <c r="K1307" s="1" t="s">
        <v>3459</v>
      </c>
    </row>
    <row r="1308" spans="1:11" x14ac:dyDescent="0.35">
      <c r="A1308" s="3" t="s">
        <v>3183</v>
      </c>
      <c r="B1308" s="1" t="s">
        <v>3435</v>
      </c>
      <c r="C1308" s="1" t="s">
        <v>3465</v>
      </c>
      <c r="D1308" s="1" t="str">
        <f>"3805"</f>
        <v>3805</v>
      </c>
      <c r="E1308" s="1" t="s">
        <v>2913</v>
      </c>
      <c r="F1308" s="1" t="s">
        <v>2914</v>
      </c>
      <c r="G1308" s="3" t="s">
        <v>15</v>
      </c>
      <c r="H1308" s="3" t="str">
        <f>"1"</f>
        <v>1</v>
      </c>
      <c r="I1308" s="4" t="str">
        <f>"28000"</f>
        <v>28000</v>
      </c>
      <c r="J1308" s="2">
        <v>45910</v>
      </c>
      <c r="K1308" s="1" t="s">
        <v>3466</v>
      </c>
    </row>
    <row r="1309" spans="1:11" x14ac:dyDescent="0.35">
      <c r="A1309" s="3" t="s">
        <v>3183</v>
      </c>
      <c r="B1309" s="1" t="s">
        <v>3435</v>
      </c>
      <c r="C1309" s="1" t="s">
        <v>3483</v>
      </c>
      <c r="D1309" s="1" t="str">
        <f>"8145"</f>
        <v>8145</v>
      </c>
      <c r="E1309" s="1" t="s">
        <v>2742</v>
      </c>
      <c r="F1309" s="1" t="s">
        <v>2743</v>
      </c>
      <c r="G1309" s="3" t="s">
        <v>15</v>
      </c>
      <c r="H1309" s="3" t="str">
        <f>"1"</f>
        <v>1</v>
      </c>
      <c r="I1309" s="4" t="str">
        <f>"100"</f>
        <v>100</v>
      </c>
      <c r="J1309" s="2">
        <v>45910</v>
      </c>
      <c r="K1309" s="1" t="s">
        <v>3484</v>
      </c>
    </row>
    <row r="1310" spans="1:11" x14ac:dyDescent="0.35">
      <c r="A1310" s="3" t="s">
        <v>3183</v>
      </c>
      <c r="B1310" s="1" t="s">
        <v>3435</v>
      </c>
      <c r="C1310" s="1" t="s">
        <v>3485</v>
      </c>
      <c r="D1310" s="1" t="str">
        <f>"8145"</f>
        <v>8145</v>
      </c>
      <c r="E1310" s="1" t="s">
        <v>2742</v>
      </c>
      <c r="F1310" s="1" t="s">
        <v>2743</v>
      </c>
      <c r="G1310" s="3" t="s">
        <v>15</v>
      </c>
      <c r="H1310" s="3" t="str">
        <f>"1"</f>
        <v>1</v>
      </c>
      <c r="I1310" s="4" t="str">
        <f>"100"</f>
        <v>100</v>
      </c>
      <c r="J1310" s="2">
        <v>45910</v>
      </c>
      <c r="K1310" s="1" t="s">
        <v>3486</v>
      </c>
    </row>
    <row r="1311" spans="1:11" x14ac:dyDescent="0.35">
      <c r="A1311" s="3" t="s">
        <v>3183</v>
      </c>
      <c r="B1311" s="1" t="s">
        <v>3184</v>
      </c>
      <c r="C1311" s="1" t="s">
        <v>3207</v>
      </c>
      <c r="D1311" s="1" t="str">
        <f>"3930"</f>
        <v>3930</v>
      </c>
      <c r="E1311" s="1" t="s">
        <v>150</v>
      </c>
      <c r="F1311" s="1" t="s">
        <v>151</v>
      </c>
      <c r="G1311" s="3" t="s">
        <v>15</v>
      </c>
      <c r="H1311" s="3" t="str">
        <f>"1"</f>
        <v>1</v>
      </c>
      <c r="I1311" s="4" t="str">
        <f>"26660"</f>
        <v>26660</v>
      </c>
      <c r="J1311" s="2">
        <v>45909</v>
      </c>
      <c r="K1311" s="1" t="s">
        <v>3208</v>
      </c>
    </row>
    <row r="1312" spans="1:11" x14ac:dyDescent="0.35">
      <c r="A1312" s="3" t="s">
        <v>3183</v>
      </c>
      <c r="B1312" s="1" t="s">
        <v>3184</v>
      </c>
      <c r="C1312" s="1" t="s">
        <v>3211</v>
      </c>
      <c r="D1312" s="1" t="str">
        <f>"4120"</f>
        <v>4120</v>
      </c>
      <c r="E1312" s="1" t="s">
        <v>3212</v>
      </c>
      <c r="F1312" s="1" t="s">
        <v>943</v>
      </c>
      <c r="G1312" s="3" t="s">
        <v>15</v>
      </c>
      <c r="H1312" s="3" t="str">
        <f>"2"</f>
        <v>2</v>
      </c>
      <c r="I1312" s="4" t="str">
        <f>"380"</f>
        <v>380</v>
      </c>
      <c r="J1312" s="2">
        <v>45909</v>
      </c>
      <c r="K1312" s="1" t="s">
        <v>3213</v>
      </c>
    </row>
    <row r="1313" spans="1:11" x14ac:dyDescent="0.35">
      <c r="A1313" s="3" t="s">
        <v>3183</v>
      </c>
      <c r="B1313" s="1" t="s">
        <v>3311</v>
      </c>
      <c r="C1313" s="1" t="s">
        <v>3312</v>
      </c>
      <c r="D1313" s="1" t="str">
        <f>"2320"</f>
        <v>2320</v>
      </c>
      <c r="E1313" s="1" t="s">
        <v>321</v>
      </c>
      <c r="F1313" s="1" t="s">
        <v>322</v>
      </c>
      <c r="G1313" s="3" t="s">
        <v>15</v>
      </c>
      <c r="H1313" s="3" t="str">
        <f>"1"</f>
        <v>1</v>
      </c>
      <c r="I1313" s="4">
        <v>40801.5</v>
      </c>
      <c r="J1313" s="2">
        <v>45909</v>
      </c>
      <c r="K1313" s="1" t="s">
        <v>3313</v>
      </c>
    </row>
    <row r="1314" spans="1:11" x14ac:dyDescent="0.35">
      <c r="A1314" s="3" t="s">
        <v>3183</v>
      </c>
      <c r="B1314" s="1" t="s">
        <v>3241</v>
      </c>
      <c r="C1314" s="1" t="s">
        <v>3246</v>
      </c>
      <c r="D1314" s="1" t="str">
        <f>"2340"</f>
        <v>2340</v>
      </c>
      <c r="E1314" s="1" t="s">
        <v>439</v>
      </c>
      <c r="F1314" s="1" t="s">
        <v>440</v>
      </c>
      <c r="G1314" s="3" t="s">
        <v>15</v>
      </c>
      <c r="H1314" s="3" t="str">
        <f>"1"</f>
        <v>1</v>
      </c>
      <c r="I1314" s="4" t="str">
        <f>"10633"</f>
        <v>10633</v>
      </c>
      <c r="J1314" s="2">
        <v>45908</v>
      </c>
      <c r="K1314" s="1" t="s">
        <v>3247</v>
      </c>
    </row>
    <row r="1315" spans="1:11" x14ac:dyDescent="0.35">
      <c r="A1315" s="3" t="s">
        <v>3183</v>
      </c>
      <c r="B1315" s="1" t="s">
        <v>3256</v>
      </c>
      <c r="C1315" s="1" t="s">
        <v>3259</v>
      </c>
      <c r="D1315" s="1" t="str">
        <f>"2320"</f>
        <v>2320</v>
      </c>
      <c r="E1315" s="1" t="s">
        <v>321</v>
      </c>
      <c r="F1315" s="1" t="s">
        <v>322</v>
      </c>
      <c r="G1315" s="3" t="s">
        <v>15</v>
      </c>
      <c r="H1315" s="3" t="str">
        <f>"1"</f>
        <v>1</v>
      </c>
      <c r="I1315" s="4" t="str">
        <f>"9938"</f>
        <v>9938</v>
      </c>
      <c r="J1315" s="2">
        <v>45908</v>
      </c>
      <c r="K1315" s="1" t="s">
        <v>3260</v>
      </c>
    </row>
    <row r="1316" spans="1:11" x14ac:dyDescent="0.35">
      <c r="A1316" s="3" t="s">
        <v>3183</v>
      </c>
      <c r="B1316" s="1" t="s">
        <v>3184</v>
      </c>
      <c r="C1316" s="1" t="s">
        <v>3195</v>
      </c>
      <c r="D1316" s="1" t="str">
        <f>"2320"</f>
        <v>2320</v>
      </c>
      <c r="E1316" s="1" t="str">
        <f>"010907892"</f>
        <v>010907892</v>
      </c>
      <c r="F1316" s="1" t="s">
        <v>373</v>
      </c>
      <c r="G1316" s="3" t="s">
        <v>15</v>
      </c>
      <c r="H1316" s="3" t="str">
        <f>"1"</f>
        <v>1</v>
      </c>
      <c r="I1316" s="4" t="str">
        <f>"23000"</f>
        <v>23000</v>
      </c>
      <c r="J1316" s="2">
        <v>45905</v>
      </c>
      <c r="K1316" s="1" t="s">
        <v>3196</v>
      </c>
    </row>
    <row r="1317" spans="1:11" x14ac:dyDescent="0.35">
      <c r="A1317" s="3" t="s">
        <v>3183</v>
      </c>
      <c r="B1317" s="1" t="s">
        <v>3228</v>
      </c>
      <c r="C1317" s="1" t="s">
        <v>3229</v>
      </c>
      <c r="D1317" s="1" t="str">
        <f>"2320"</f>
        <v>2320</v>
      </c>
      <c r="E1317" s="1" t="str">
        <f>"013808604"</f>
        <v>013808604</v>
      </c>
      <c r="F1317" s="1" t="s">
        <v>604</v>
      </c>
      <c r="G1317" s="3" t="s">
        <v>15</v>
      </c>
      <c r="H1317" s="3" t="str">
        <f>"1"</f>
        <v>1</v>
      </c>
      <c r="I1317" s="4" t="str">
        <f>"89900"</f>
        <v>89900</v>
      </c>
      <c r="J1317" s="2">
        <v>45905</v>
      </c>
      <c r="K1317" s="1" t="s">
        <v>3230</v>
      </c>
    </row>
    <row r="1318" spans="1:11" x14ac:dyDescent="0.35">
      <c r="A1318" s="3" t="s">
        <v>3183</v>
      </c>
      <c r="B1318" s="1" t="s">
        <v>3241</v>
      </c>
      <c r="C1318" s="1" t="s">
        <v>3254</v>
      </c>
      <c r="D1318" s="1" t="str">
        <f>"6115"</f>
        <v>6115</v>
      </c>
      <c r="E1318" s="1" t="str">
        <f>"014711508"</f>
        <v>014711508</v>
      </c>
      <c r="F1318" s="1" t="s">
        <v>1772</v>
      </c>
      <c r="G1318" s="3" t="s">
        <v>15</v>
      </c>
      <c r="H1318" s="3" t="str">
        <f>"2"</f>
        <v>2</v>
      </c>
      <c r="I1318" s="4" t="str">
        <f>"44185"</f>
        <v>44185</v>
      </c>
      <c r="J1318" s="2">
        <v>45905</v>
      </c>
      <c r="K1318" s="1" t="s">
        <v>3255</v>
      </c>
    </row>
    <row r="1319" spans="1:11" x14ac:dyDescent="0.35">
      <c r="A1319" s="3" t="s">
        <v>3183</v>
      </c>
      <c r="B1319" s="1" t="s">
        <v>3297</v>
      </c>
      <c r="C1319" s="1" t="s">
        <v>3304</v>
      </c>
      <c r="D1319" s="1" t="str">
        <f>"6115"</f>
        <v>6115</v>
      </c>
      <c r="E1319" s="1" t="str">
        <f>"014743776"</f>
        <v>014743776</v>
      </c>
      <c r="F1319" s="1" t="s">
        <v>1838</v>
      </c>
      <c r="G1319" s="3" t="s">
        <v>15</v>
      </c>
      <c r="H1319" s="3" t="str">
        <f>"1"</f>
        <v>1</v>
      </c>
      <c r="I1319" s="4" t="str">
        <f>"96819"</f>
        <v>96819</v>
      </c>
      <c r="J1319" s="2">
        <v>45905</v>
      </c>
      <c r="K1319" s="1" t="s">
        <v>3305</v>
      </c>
    </row>
    <row r="1320" spans="1:11" x14ac:dyDescent="0.35">
      <c r="A1320" s="3" t="s">
        <v>3183</v>
      </c>
      <c r="B1320" s="1" t="s">
        <v>3241</v>
      </c>
      <c r="C1320" s="1" t="s">
        <v>3242</v>
      </c>
      <c r="D1320" s="1" t="str">
        <f>"2320"</f>
        <v>2320</v>
      </c>
      <c r="E1320" s="1" t="str">
        <f>"012802063"</f>
        <v>012802063</v>
      </c>
      <c r="F1320" s="1" t="s">
        <v>114</v>
      </c>
      <c r="G1320" s="3" t="s">
        <v>15</v>
      </c>
      <c r="H1320" s="3" t="str">
        <f>"1"</f>
        <v>1</v>
      </c>
      <c r="I1320" s="4" t="str">
        <f>"38530"</f>
        <v>38530</v>
      </c>
      <c r="J1320" s="2">
        <v>45904</v>
      </c>
      <c r="K1320" s="1" t="s">
        <v>3243</v>
      </c>
    </row>
    <row r="1321" spans="1:11" x14ac:dyDescent="0.35">
      <c r="A1321" s="3" t="s">
        <v>3183</v>
      </c>
      <c r="B1321" s="1" t="s">
        <v>3241</v>
      </c>
      <c r="C1321" s="1" t="s">
        <v>3252</v>
      </c>
      <c r="D1321" s="1" t="str">
        <f>"3930"</f>
        <v>3930</v>
      </c>
      <c r="E1321" s="1" t="s">
        <v>150</v>
      </c>
      <c r="F1321" s="1" t="s">
        <v>151</v>
      </c>
      <c r="G1321" s="3" t="s">
        <v>15</v>
      </c>
      <c r="H1321" s="3" t="str">
        <f>"1"</f>
        <v>1</v>
      </c>
      <c r="I1321" s="4" t="str">
        <f>"15000"</f>
        <v>15000</v>
      </c>
      <c r="J1321" s="2">
        <v>45904</v>
      </c>
      <c r="K1321" s="1" t="s">
        <v>3253</v>
      </c>
    </row>
    <row r="1322" spans="1:11" x14ac:dyDescent="0.35">
      <c r="A1322" s="3" t="s">
        <v>3183</v>
      </c>
      <c r="B1322" s="1" t="s">
        <v>3297</v>
      </c>
      <c r="C1322" s="1" t="s">
        <v>3298</v>
      </c>
      <c r="D1322" s="1" t="str">
        <f>"2340"</f>
        <v>2340</v>
      </c>
      <c r="E1322" s="1" t="s">
        <v>439</v>
      </c>
      <c r="F1322" s="1" t="s">
        <v>440</v>
      </c>
      <c r="G1322" s="3" t="s">
        <v>15</v>
      </c>
      <c r="H1322" s="3" t="str">
        <f>"1"</f>
        <v>1</v>
      </c>
      <c r="I1322" s="4" t="str">
        <f>"10899"</f>
        <v>10899</v>
      </c>
      <c r="J1322" s="2">
        <v>45904</v>
      </c>
      <c r="K1322" s="1" t="s">
        <v>3299</v>
      </c>
    </row>
    <row r="1323" spans="1:11" x14ac:dyDescent="0.35">
      <c r="A1323" s="3" t="s">
        <v>3183</v>
      </c>
      <c r="B1323" s="1" t="s">
        <v>3256</v>
      </c>
      <c r="C1323" s="1" t="s">
        <v>3257</v>
      </c>
      <c r="D1323" s="1" t="str">
        <f>"1740"</f>
        <v>1740</v>
      </c>
      <c r="E1323" s="1" t="str">
        <f>"014685158"</f>
        <v>014685158</v>
      </c>
      <c r="F1323" s="1" t="s">
        <v>452</v>
      </c>
      <c r="G1323" s="3" t="s">
        <v>15</v>
      </c>
      <c r="H1323" s="3" t="str">
        <f>"1"</f>
        <v>1</v>
      </c>
      <c r="I1323" s="4" t="str">
        <f>"32982"</f>
        <v>32982</v>
      </c>
      <c r="J1323" s="2">
        <v>45902</v>
      </c>
      <c r="K1323" s="1" t="s">
        <v>3258</v>
      </c>
    </row>
    <row r="1324" spans="1:11" x14ac:dyDescent="0.35">
      <c r="A1324" s="3" t="s">
        <v>3183</v>
      </c>
      <c r="B1324" s="1" t="s">
        <v>3435</v>
      </c>
      <c r="C1324" s="1" t="s">
        <v>3448</v>
      </c>
      <c r="D1324" s="1" t="str">
        <f>"2320"</f>
        <v>2320</v>
      </c>
      <c r="E1324" s="1" t="str">
        <f>"010539398"</f>
        <v>010539398</v>
      </c>
      <c r="F1324" s="1" t="s">
        <v>1448</v>
      </c>
      <c r="G1324" s="3" t="s">
        <v>15</v>
      </c>
      <c r="H1324" s="3" t="str">
        <f>"1"</f>
        <v>1</v>
      </c>
      <c r="I1324" s="4" t="str">
        <f>"29693"</f>
        <v>29693</v>
      </c>
      <c r="J1324" s="2">
        <v>45902</v>
      </c>
      <c r="K1324" s="1" t="s">
        <v>3449</v>
      </c>
    </row>
    <row r="1325" spans="1:11" x14ac:dyDescent="0.35">
      <c r="A1325" s="3" t="s">
        <v>3183</v>
      </c>
      <c r="B1325" s="1" t="s">
        <v>3495</v>
      </c>
      <c r="C1325" s="1" t="s">
        <v>3496</v>
      </c>
      <c r="D1325" s="1" t="str">
        <f>"1550"</f>
        <v>1550</v>
      </c>
      <c r="E1325" s="1" t="str">
        <f>"016515315"</f>
        <v>016515315</v>
      </c>
      <c r="F1325" s="1" t="s">
        <v>2334</v>
      </c>
      <c r="G1325" s="3" t="s">
        <v>19</v>
      </c>
      <c r="H1325" s="3" t="str">
        <f>"2"</f>
        <v>2</v>
      </c>
      <c r="I1325" s="4" t="str">
        <f>"6700"</f>
        <v>6700</v>
      </c>
      <c r="J1325" s="2">
        <v>45897</v>
      </c>
      <c r="K1325" s="1" t="s">
        <v>3497</v>
      </c>
    </row>
    <row r="1326" spans="1:11" x14ac:dyDescent="0.35">
      <c r="A1326" s="3" t="s">
        <v>3183</v>
      </c>
      <c r="B1326" s="1" t="s">
        <v>3339</v>
      </c>
      <c r="C1326" s="1" t="s">
        <v>3347</v>
      </c>
      <c r="D1326" s="1" t="str">
        <f>"8150"</f>
        <v>8150</v>
      </c>
      <c r="E1326" s="1" t="str">
        <f>"014638555"</f>
        <v>014638555</v>
      </c>
      <c r="F1326" s="1" t="s">
        <v>448</v>
      </c>
      <c r="G1326" s="3" t="s">
        <v>15</v>
      </c>
      <c r="H1326" s="3" t="str">
        <f>"1"</f>
        <v>1</v>
      </c>
      <c r="I1326" s="4">
        <v>11480.33</v>
      </c>
      <c r="J1326" s="2">
        <v>45895</v>
      </c>
      <c r="K1326" s="1" t="s">
        <v>3348</v>
      </c>
    </row>
    <row r="1327" spans="1:11" x14ac:dyDescent="0.35">
      <c r="A1327" s="3" t="s">
        <v>3183</v>
      </c>
      <c r="B1327" s="1" t="s">
        <v>3321</v>
      </c>
      <c r="C1327" s="1" t="s">
        <v>3322</v>
      </c>
      <c r="D1327" s="1" t="str">
        <f>"2360"</f>
        <v>2360</v>
      </c>
      <c r="E1327" s="1" t="str">
        <f>"016651461"</f>
        <v>016651461</v>
      </c>
      <c r="F1327" s="1" t="s">
        <v>14</v>
      </c>
      <c r="G1327" s="3" t="s">
        <v>15</v>
      </c>
      <c r="H1327" s="3" t="str">
        <f>"1"</f>
        <v>1</v>
      </c>
      <c r="I1327" s="4" t="str">
        <f>"53700"</f>
        <v>53700</v>
      </c>
      <c r="J1327" s="2">
        <v>45894</v>
      </c>
      <c r="K1327" s="1" t="s">
        <v>3323</v>
      </c>
    </row>
    <row r="1328" spans="1:11" x14ac:dyDescent="0.35">
      <c r="A1328" s="3" t="s">
        <v>3183</v>
      </c>
      <c r="B1328" s="1" t="s">
        <v>3184</v>
      </c>
      <c r="C1328" s="1" t="s">
        <v>3216</v>
      </c>
      <c r="D1328" s="1" t="str">
        <f>"5855"</f>
        <v>5855</v>
      </c>
      <c r="E1328" s="1" t="str">
        <f>"015264703"</f>
        <v>015264703</v>
      </c>
      <c r="F1328" s="1" t="s">
        <v>1953</v>
      </c>
      <c r="G1328" s="3" t="s">
        <v>15</v>
      </c>
      <c r="H1328" s="3" t="str">
        <f>"1"</f>
        <v>1</v>
      </c>
      <c r="I1328" s="4">
        <v>10100.040000000001</v>
      </c>
      <c r="J1328" s="2">
        <v>45890</v>
      </c>
      <c r="K1328" s="1" t="s">
        <v>3217</v>
      </c>
    </row>
    <row r="1329" spans="1:11" x14ac:dyDescent="0.35">
      <c r="A1329" s="3" t="s">
        <v>3183</v>
      </c>
      <c r="B1329" s="1" t="s">
        <v>3184</v>
      </c>
      <c r="C1329" s="1" t="s">
        <v>3218</v>
      </c>
      <c r="D1329" s="1" t="str">
        <f>"5855"</f>
        <v>5855</v>
      </c>
      <c r="E1329" s="1" t="str">
        <f>"014748904"</f>
        <v>014748904</v>
      </c>
      <c r="F1329" s="1" t="s">
        <v>1953</v>
      </c>
      <c r="G1329" s="3" t="s">
        <v>15</v>
      </c>
      <c r="H1329" s="3" t="str">
        <f>"1"</f>
        <v>1</v>
      </c>
      <c r="I1329" s="4" t="str">
        <f>"5314"</f>
        <v>5314</v>
      </c>
      <c r="J1329" s="2">
        <v>45890</v>
      </c>
      <c r="K1329" s="1" t="s">
        <v>3217</v>
      </c>
    </row>
    <row r="1330" spans="1:11" x14ac:dyDescent="0.35">
      <c r="A1330" s="3" t="s">
        <v>3183</v>
      </c>
      <c r="B1330" s="1" t="s">
        <v>3184</v>
      </c>
      <c r="C1330" s="1" t="s">
        <v>3214</v>
      </c>
      <c r="D1330" s="1" t="str">
        <f>"4240"</f>
        <v>4240</v>
      </c>
      <c r="E1330" s="1" t="str">
        <f>"015700319"</f>
        <v>015700319</v>
      </c>
      <c r="F1330" s="1" t="s">
        <v>830</v>
      </c>
      <c r="G1330" s="3" t="s">
        <v>15</v>
      </c>
      <c r="H1330" s="3" t="str">
        <f>"98"</f>
        <v>98</v>
      </c>
      <c r="I1330" s="4">
        <v>39.07</v>
      </c>
      <c r="J1330" s="2">
        <v>45889</v>
      </c>
      <c r="K1330" s="1" t="s">
        <v>3215</v>
      </c>
    </row>
    <row r="1331" spans="1:11" x14ac:dyDescent="0.35">
      <c r="A1331" s="3" t="s">
        <v>3183</v>
      </c>
      <c r="B1331" s="1" t="s">
        <v>3339</v>
      </c>
      <c r="C1331" s="1" t="s">
        <v>3342</v>
      </c>
      <c r="D1331" s="1" t="str">
        <f>"3470"</f>
        <v>3470</v>
      </c>
      <c r="E1331" s="1" t="str">
        <f>"014549877"</f>
        <v>014549877</v>
      </c>
      <c r="F1331" s="1" t="s">
        <v>3343</v>
      </c>
      <c r="G1331" s="3" t="s">
        <v>15</v>
      </c>
      <c r="H1331" s="3" t="str">
        <f>"1"</f>
        <v>1</v>
      </c>
      <c r="I1331" s="4" t="str">
        <f>"35000"</f>
        <v>35000</v>
      </c>
      <c r="J1331" s="2">
        <v>45889</v>
      </c>
      <c r="K1331" s="1" t="s">
        <v>3344</v>
      </c>
    </row>
    <row r="1332" spans="1:11" x14ac:dyDescent="0.35">
      <c r="A1332" s="3" t="s">
        <v>3183</v>
      </c>
      <c r="B1332" s="1" t="s">
        <v>3357</v>
      </c>
      <c r="C1332" s="1" t="s">
        <v>3360</v>
      </c>
      <c r="D1332" s="1" t="str">
        <f>"2320"</f>
        <v>2320</v>
      </c>
      <c r="E1332" s="1" t="s">
        <v>3361</v>
      </c>
      <c r="F1332" s="1" t="s">
        <v>3362</v>
      </c>
      <c r="G1332" s="3" t="s">
        <v>15</v>
      </c>
      <c r="H1332" s="3" t="str">
        <f>"1"</f>
        <v>1</v>
      </c>
      <c r="I1332" s="4" t="str">
        <f>"876918"</f>
        <v>876918</v>
      </c>
      <c r="J1332" s="2">
        <v>45889</v>
      </c>
      <c r="K1332" s="1" t="s">
        <v>3363</v>
      </c>
    </row>
    <row r="1333" spans="1:11" x14ac:dyDescent="0.35">
      <c r="A1333" s="3" t="s">
        <v>3183</v>
      </c>
      <c r="B1333" s="1" t="s">
        <v>3339</v>
      </c>
      <c r="C1333" s="1" t="s">
        <v>3340</v>
      </c>
      <c r="D1333" s="1" t="str">
        <f>"2340"</f>
        <v>2340</v>
      </c>
      <c r="E1333" s="1" t="s">
        <v>694</v>
      </c>
      <c r="F1333" s="1" t="s">
        <v>695</v>
      </c>
      <c r="G1333" s="3" t="s">
        <v>15</v>
      </c>
      <c r="H1333" s="3" t="str">
        <f>"1"</f>
        <v>1</v>
      </c>
      <c r="I1333" s="4" t="str">
        <f>"5099"</f>
        <v>5099</v>
      </c>
      <c r="J1333" s="2">
        <v>45887</v>
      </c>
      <c r="K1333" s="1" t="s">
        <v>3341</v>
      </c>
    </row>
    <row r="1334" spans="1:11" x14ac:dyDescent="0.35">
      <c r="A1334" s="3" t="s">
        <v>3183</v>
      </c>
      <c r="B1334" s="1" t="s">
        <v>3376</v>
      </c>
      <c r="C1334" s="1" t="s">
        <v>3385</v>
      </c>
      <c r="D1334" s="1" t="str">
        <f>"4010"</f>
        <v>4010</v>
      </c>
      <c r="E1334" s="1" t="str">
        <f>"011850406"</f>
        <v>011850406</v>
      </c>
      <c r="F1334" s="1" t="s">
        <v>3386</v>
      </c>
      <c r="G1334" s="3" t="s">
        <v>15</v>
      </c>
      <c r="H1334" s="3" t="str">
        <f>"20"</f>
        <v>20</v>
      </c>
      <c r="I1334" s="4">
        <v>282.72000000000003</v>
      </c>
      <c r="J1334" s="2">
        <v>45887</v>
      </c>
      <c r="K1334" s="1" t="s">
        <v>3387</v>
      </c>
    </row>
    <row r="1335" spans="1:11" x14ac:dyDescent="0.35">
      <c r="A1335" s="3" t="s">
        <v>3183</v>
      </c>
      <c r="B1335" s="1" t="s">
        <v>3376</v>
      </c>
      <c r="C1335" s="1" t="s">
        <v>3388</v>
      </c>
      <c r="D1335" s="1" t="str">
        <f>"4030"</f>
        <v>4030</v>
      </c>
      <c r="E1335" s="1" t="str">
        <f>"003771201"</f>
        <v>003771201</v>
      </c>
      <c r="F1335" s="1" t="s">
        <v>3389</v>
      </c>
      <c r="G1335" s="3" t="s">
        <v>15</v>
      </c>
      <c r="H1335" s="3" t="str">
        <f>"40"</f>
        <v>40</v>
      </c>
      <c r="I1335" s="4">
        <v>56.73</v>
      </c>
      <c r="J1335" s="2">
        <v>45887</v>
      </c>
      <c r="K1335" s="1" t="s">
        <v>3390</v>
      </c>
    </row>
    <row r="1336" spans="1:11" x14ac:dyDescent="0.35">
      <c r="A1336" s="3" t="s">
        <v>3183</v>
      </c>
      <c r="B1336" s="1" t="s">
        <v>3376</v>
      </c>
      <c r="C1336" s="1" t="s">
        <v>3397</v>
      </c>
      <c r="D1336" s="1" t="str">
        <f>"5925"</f>
        <v>5925</v>
      </c>
      <c r="E1336" s="1" t="str">
        <f>"010282492"</f>
        <v>010282492</v>
      </c>
      <c r="F1336" s="1" t="s">
        <v>3398</v>
      </c>
      <c r="G1336" s="3" t="s">
        <v>15</v>
      </c>
      <c r="H1336" s="3" t="str">
        <f>"200"</f>
        <v>200</v>
      </c>
      <c r="I1336" s="4">
        <v>11.52</v>
      </c>
      <c r="J1336" s="2">
        <v>45887</v>
      </c>
      <c r="K1336" s="1" t="s">
        <v>3399</v>
      </c>
    </row>
    <row r="1337" spans="1:11" x14ac:dyDescent="0.35">
      <c r="A1337" s="3" t="s">
        <v>3183</v>
      </c>
      <c r="B1337" s="1" t="s">
        <v>3376</v>
      </c>
      <c r="C1337" s="1" t="s">
        <v>3402</v>
      </c>
      <c r="D1337" s="1" t="str">
        <f>"6220"</f>
        <v>6220</v>
      </c>
      <c r="E1337" s="1" t="str">
        <f>"012178316"</f>
        <v>012178316</v>
      </c>
      <c r="F1337" s="1" t="s">
        <v>3403</v>
      </c>
      <c r="G1337" s="3" t="s">
        <v>15</v>
      </c>
      <c r="H1337" s="3" t="str">
        <f>"2"</f>
        <v>2</v>
      </c>
      <c r="I1337" s="4">
        <v>1409.85</v>
      </c>
      <c r="J1337" s="2">
        <v>45887</v>
      </c>
      <c r="K1337" s="1" t="s">
        <v>3404</v>
      </c>
    </row>
    <row r="1338" spans="1:11" x14ac:dyDescent="0.35">
      <c r="A1338" s="3" t="s">
        <v>3183</v>
      </c>
      <c r="B1338" s="1" t="s">
        <v>3376</v>
      </c>
      <c r="C1338" s="1" t="s">
        <v>3405</v>
      </c>
      <c r="D1338" s="1" t="str">
        <f>"6230"</f>
        <v>6230</v>
      </c>
      <c r="E1338" s="1" t="str">
        <f>"003028076"</f>
        <v>003028076</v>
      </c>
      <c r="F1338" s="1" t="s">
        <v>3406</v>
      </c>
      <c r="G1338" s="3" t="s">
        <v>15</v>
      </c>
      <c r="H1338" s="3" t="str">
        <f>"25"</f>
        <v>25</v>
      </c>
      <c r="I1338" s="4">
        <v>118.38</v>
      </c>
      <c r="J1338" s="2">
        <v>45887</v>
      </c>
      <c r="K1338" s="1" t="s">
        <v>3407</v>
      </c>
    </row>
    <row r="1339" spans="1:11" x14ac:dyDescent="0.35">
      <c r="A1339" s="3" t="s">
        <v>3183</v>
      </c>
      <c r="B1339" s="1" t="s">
        <v>3376</v>
      </c>
      <c r="C1339" s="1" t="s">
        <v>3408</v>
      </c>
      <c r="D1339" s="1" t="str">
        <f>"6230"</f>
        <v>6230</v>
      </c>
      <c r="E1339" s="1" t="str">
        <f>"016687304"</f>
        <v>016687304</v>
      </c>
      <c r="F1339" s="1" t="s">
        <v>3409</v>
      </c>
      <c r="G1339" s="3" t="s">
        <v>15</v>
      </c>
      <c r="H1339" s="3" t="str">
        <f>"25"</f>
        <v>25</v>
      </c>
      <c r="I1339" s="4">
        <v>1449.44</v>
      </c>
      <c r="J1339" s="2">
        <v>45887</v>
      </c>
      <c r="K1339" s="1" t="s">
        <v>3410</v>
      </c>
    </row>
    <row r="1340" spans="1:11" x14ac:dyDescent="0.35">
      <c r="A1340" s="3" t="s">
        <v>3183</v>
      </c>
      <c r="B1340" s="1" t="s">
        <v>3376</v>
      </c>
      <c r="C1340" s="1" t="s">
        <v>3413</v>
      </c>
      <c r="D1340" s="1" t="str">
        <f>"7035"</f>
        <v>7035</v>
      </c>
      <c r="E1340" s="1" t="s">
        <v>3414</v>
      </c>
      <c r="F1340" s="1" t="s">
        <v>3415</v>
      </c>
      <c r="G1340" s="3" t="s">
        <v>15</v>
      </c>
      <c r="H1340" s="3" t="str">
        <f>"13"</f>
        <v>13</v>
      </c>
      <c r="I1340" s="4" t="str">
        <f>"500"</f>
        <v>500</v>
      </c>
      <c r="J1340" s="2">
        <v>45887</v>
      </c>
      <c r="K1340" s="1" t="s">
        <v>3416</v>
      </c>
    </row>
    <row r="1341" spans="1:11" x14ac:dyDescent="0.35">
      <c r="A1341" s="3" t="s">
        <v>3183</v>
      </c>
      <c r="B1341" s="1" t="s">
        <v>3490</v>
      </c>
      <c r="C1341" s="1" t="s">
        <v>3493</v>
      </c>
      <c r="D1341" s="1" t="str">
        <f>"2420"</f>
        <v>2420</v>
      </c>
      <c r="E1341" s="1" t="s">
        <v>405</v>
      </c>
      <c r="F1341" s="1" t="s">
        <v>406</v>
      </c>
      <c r="G1341" s="3" t="s">
        <v>15</v>
      </c>
      <c r="H1341" s="3" t="str">
        <f>"1"</f>
        <v>1</v>
      </c>
      <c r="I1341" s="4" t="str">
        <f>"20366"</f>
        <v>20366</v>
      </c>
      <c r="J1341" s="2">
        <v>45887</v>
      </c>
      <c r="K1341" s="1" t="s">
        <v>3494</v>
      </c>
    </row>
    <row r="1342" spans="1:11" x14ac:dyDescent="0.35">
      <c r="A1342" s="3" t="s">
        <v>3183</v>
      </c>
      <c r="B1342" s="1" t="s">
        <v>3495</v>
      </c>
      <c r="C1342" s="1" t="s">
        <v>3502</v>
      </c>
      <c r="D1342" s="1" t="str">
        <f>"5855"</f>
        <v>5855</v>
      </c>
      <c r="E1342" s="1" t="str">
        <f>"015847217"</f>
        <v>015847217</v>
      </c>
      <c r="F1342" s="1" t="s">
        <v>1942</v>
      </c>
      <c r="G1342" s="3" t="s">
        <v>15</v>
      </c>
      <c r="H1342" s="3" t="str">
        <f>"20"</f>
        <v>20</v>
      </c>
      <c r="I1342" s="4" t="str">
        <f>"35674"</f>
        <v>35674</v>
      </c>
      <c r="J1342" s="2">
        <v>45887</v>
      </c>
      <c r="K1342" s="1" t="s">
        <v>3503</v>
      </c>
    </row>
    <row r="1343" spans="1:11" x14ac:dyDescent="0.35">
      <c r="A1343" s="3" t="s">
        <v>3183</v>
      </c>
      <c r="B1343" s="1" t="s">
        <v>3241</v>
      </c>
      <c r="C1343" s="1" t="s">
        <v>3244</v>
      </c>
      <c r="D1343" s="1" t="str">
        <f>"2330"</f>
        <v>2330</v>
      </c>
      <c r="E1343" s="1" t="s">
        <v>70</v>
      </c>
      <c r="F1343" s="1" t="s">
        <v>71</v>
      </c>
      <c r="G1343" s="3" t="s">
        <v>15</v>
      </c>
      <c r="H1343" s="3" t="str">
        <f>"1"</f>
        <v>1</v>
      </c>
      <c r="I1343" s="4">
        <v>676.47</v>
      </c>
      <c r="J1343" s="2">
        <v>45884</v>
      </c>
      <c r="K1343" s="1" t="s">
        <v>3245</v>
      </c>
    </row>
    <row r="1344" spans="1:11" x14ac:dyDescent="0.35">
      <c r="A1344" s="3" t="s">
        <v>3183</v>
      </c>
      <c r="B1344" s="1" t="s">
        <v>3321</v>
      </c>
      <c r="C1344" s="1" t="s">
        <v>3326</v>
      </c>
      <c r="D1344" s="1" t="str">
        <f>"5965"</f>
        <v>5965</v>
      </c>
      <c r="E1344" s="1" t="str">
        <f>"016190258"</f>
        <v>016190258</v>
      </c>
      <c r="F1344" s="1" t="s">
        <v>22</v>
      </c>
      <c r="G1344" s="3" t="s">
        <v>15</v>
      </c>
      <c r="H1344" s="3" t="str">
        <f>"20"</f>
        <v>20</v>
      </c>
      <c r="I1344" s="4" t="str">
        <f>"3069"</f>
        <v>3069</v>
      </c>
      <c r="J1344" s="2">
        <v>45884</v>
      </c>
      <c r="K1344" s="1" t="s">
        <v>3327</v>
      </c>
    </row>
    <row r="1345" spans="1:11" x14ac:dyDescent="0.35">
      <c r="A1345" s="3" t="s">
        <v>3183</v>
      </c>
      <c r="B1345" s="1" t="s">
        <v>3184</v>
      </c>
      <c r="C1345" s="1" t="s">
        <v>3219</v>
      </c>
      <c r="D1345" s="1" t="str">
        <f>"6920"</f>
        <v>6920</v>
      </c>
      <c r="E1345" s="1" t="str">
        <f>"014553432"</f>
        <v>014553432</v>
      </c>
      <c r="F1345" s="1" t="s">
        <v>3220</v>
      </c>
      <c r="G1345" s="3" t="s">
        <v>15</v>
      </c>
      <c r="H1345" s="3" t="str">
        <f>"15"</f>
        <v>15</v>
      </c>
      <c r="I1345" s="4">
        <v>62.28</v>
      </c>
      <c r="J1345" s="2">
        <v>45883</v>
      </c>
      <c r="K1345" s="1" t="s">
        <v>3221</v>
      </c>
    </row>
    <row r="1346" spans="1:11" x14ac:dyDescent="0.35">
      <c r="A1346" s="3" t="s">
        <v>3183</v>
      </c>
      <c r="B1346" s="1" t="s">
        <v>3435</v>
      </c>
      <c r="C1346" s="1" t="s">
        <v>3452</v>
      </c>
      <c r="D1346" s="1" t="str">
        <f>"2340"</f>
        <v>2340</v>
      </c>
      <c r="E1346" s="1" t="s">
        <v>647</v>
      </c>
      <c r="F1346" s="1" t="s">
        <v>648</v>
      </c>
      <c r="G1346" s="3" t="s">
        <v>15</v>
      </c>
      <c r="H1346" s="3" t="str">
        <f>"2"</f>
        <v>2</v>
      </c>
      <c r="I1346" s="4" t="str">
        <f>"34000"</f>
        <v>34000</v>
      </c>
      <c r="J1346" s="2">
        <v>45883</v>
      </c>
      <c r="K1346" s="1" t="s">
        <v>3453</v>
      </c>
    </row>
    <row r="1347" spans="1:11" x14ac:dyDescent="0.35">
      <c r="A1347" s="3" t="s">
        <v>3183</v>
      </c>
      <c r="B1347" s="1" t="s">
        <v>3435</v>
      </c>
      <c r="C1347" s="1" t="s">
        <v>3454</v>
      </c>
      <c r="D1347" s="1" t="str">
        <f>"2340"</f>
        <v>2340</v>
      </c>
      <c r="E1347" s="1" t="s">
        <v>647</v>
      </c>
      <c r="F1347" s="1" t="s">
        <v>648</v>
      </c>
      <c r="G1347" s="3" t="s">
        <v>15</v>
      </c>
      <c r="H1347" s="3" t="str">
        <f>"1"</f>
        <v>1</v>
      </c>
      <c r="I1347" s="4">
        <v>15264.6</v>
      </c>
      <c r="J1347" s="2">
        <v>45883</v>
      </c>
      <c r="K1347" s="1" t="s">
        <v>3455</v>
      </c>
    </row>
    <row r="1348" spans="1:11" x14ac:dyDescent="0.35">
      <c r="A1348" s="3" t="s">
        <v>3183</v>
      </c>
      <c r="B1348" s="1" t="s">
        <v>3435</v>
      </c>
      <c r="C1348" s="1" t="s">
        <v>3462</v>
      </c>
      <c r="D1348" s="1" t="str">
        <f>"2805"</f>
        <v>2805</v>
      </c>
      <c r="E1348" s="1" t="str">
        <f>"001481133"</f>
        <v>001481133</v>
      </c>
      <c r="F1348" s="1" t="s">
        <v>3463</v>
      </c>
      <c r="G1348" s="3" t="s">
        <v>15</v>
      </c>
      <c r="H1348" s="3" t="str">
        <f>"1"</f>
        <v>1</v>
      </c>
      <c r="I1348" s="4">
        <v>4476.7</v>
      </c>
      <c r="J1348" s="2">
        <v>45883</v>
      </c>
      <c r="K1348" s="1" t="s">
        <v>3464</v>
      </c>
    </row>
    <row r="1349" spans="1:11" x14ac:dyDescent="0.35">
      <c r="A1349" s="3" t="s">
        <v>3183</v>
      </c>
      <c r="B1349" s="1" t="s">
        <v>3435</v>
      </c>
      <c r="C1349" s="1" t="s">
        <v>3473</v>
      </c>
      <c r="D1349" s="1" t="str">
        <f>"5410"</f>
        <v>5410</v>
      </c>
      <c r="E1349" s="1" t="s">
        <v>3474</v>
      </c>
      <c r="F1349" s="1" t="s">
        <v>3475</v>
      </c>
      <c r="G1349" s="3" t="s">
        <v>15</v>
      </c>
      <c r="H1349" s="3" t="str">
        <f>"1"</f>
        <v>1</v>
      </c>
      <c r="I1349" s="4" t="str">
        <f>"5000"</f>
        <v>5000</v>
      </c>
      <c r="J1349" s="2">
        <v>45883</v>
      </c>
      <c r="K1349" s="1" t="s">
        <v>3476</v>
      </c>
    </row>
    <row r="1350" spans="1:11" x14ac:dyDescent="0.35">
      <c r="A1350" s="3" t="s">
        <v>3183</v>
      </c>
      <c r="B1350" s="1" t="s">
        <v>3435</v>
      </c>
      <c r="C1350" s="1" t="s">
        <v>3477</v>
      </c>
      <c r="D1350" s="1" t="str">
        <f>"5411"</f>
        <v>5411</v>
      </c>
      <c r="E1350" s="1" t="str">
        <f>"013554322"</f>
        <v>013554322</v>
      </c>
      <c r="F1350" s="1" t="s">
        <v>1453</v>
      </c>
      <c r="G1350" s="3" t="s">
        <v>15</v>
      </c>
      <c r="H1350" s="3" t="str">
        <f>"1"</f>
        <v>1</v>
      </c>
      <c r="I1350" s="4" t="str">
        <f>"2500"</f>
        <v>2500</v>
      </c>
      <c r="J1350" s="2">
        <v>45883</v>
      </c>
      <c r="K1350" s="1" t="s">
        <v>3478</v>
      </c>
    </row>
    <row r="1351" spans="1:11" x14ac:dyDescent="0.35">
      <c r="A1351" s="3" t="s">
        <v>3183</v>
      </c>
      <c r="B1351" s="1" t="s">
        <v>3435</v>
      </c>
      <c r="C1351" s="1" t="s">
        <v>3479</v>
      </c>
      <c r="D1351" s="1" t="str">
        <f>"7025"</f>
        <v>7025</v>
      </c>
      <c r="E1351" s="1" t="s">
        <v>3480</v>
      </c>
      <c r="F1351" s="1" t="s">
        <v>3481</v>
      </c>
      <c r="G1351" s="3" t="s">
        <v>15</v>
      </c>
      <c r="H1351" s="3" t="str">
        <f>"4"</f>
        <v>4</v>
      </c>
      <c r="I1351" s="4">
        <v>59.98</v>
      </c>
      <c r="J1351" s="2">
        <v>45883</v>
      </c>
      <c r="K1351" s="1" t="s">
        <v>3482</v>
      </c>
    </row>
    <row r="1352" spans="1:11" x14ac:dyDescent="0.35">
      <c r="A1352" s="3" t="s">
        <v>3183</v>
      </c>
      <c r="B1352" s="1" t="s">
        <v>3425</v>
      </c>
      <c r="C1352" s="1" t="s">
        <v>3426</v>
      </c>
      <c r="D1352" s="1" t="str">
        <f>"2320"</f>
        <v>2320</v>
      </c>
      <c r="E1352" s="1" t="str">
        <f>"009955610"</f>
        <v>009955610</v>
      </c>
      <c r="F1352" s="1" t="s">
        <v>3427</v>
      </c>
      <c r="G1352" s="3" t="s">
        <v>15</v>
      </c>
      <c r="H1352" s="3" t="str">
        <f>"1"</f>
        <v>1</v>
      </c>
      <c r="I1352" s="4" t="str">
        <f>"260000"</f>
        <v>260000</v>
      </c>
      <c r="J1352" s="2">
        <v>45882</v>
      </c>
      <c r="K1352" s="1" t="s">
        <v>3428</v>
      </c>
    </row>
    <row r="1353" spans="1:11" x14ac:dyDescent="0.35">
      <c r="A1353" s="3" t="s">
        <v>3183</v>
      </c>
      <c r="B1353" s="1" t="s">
        <v>3184</v>
      </c>
      <c r="C1353" s="1" t="s">
        <v>3187</v>
      </c>
      <c r="D1353" s="1" t="str">
        <f>"2310"</f>
        <v>2310</v>
      </c>
      <c r="E1353" s="1" t="s">
        <v>413</v>
      </c>
      <c r="F1353" s="1" t="s">
        <v>414</v>
      </c>
      <c r="G1353" s="3" t="s">
        <v>15</v>
      </c>
      <c r="H1353" s="3" t="str">
        <f>"2"</f>
        <v>2</v>
      </c>
      <c r="I1353" s="4" t="str">
        <f>"20000"</f>
        <v>20000</v>
      </c>
      <c r="J1353" s="2">
        <v>45881</v>
      </c>
      <c r="K1353" s="1" t="s">
        <v>3188</v>
      </c>
    </row>
    <row r="1354" spans="1:11" x14ac:dyDescent="0.35">
      <c r="A1354" s="3" t="s">
        <v>3183</v>
      </c>
      <c r="B1354" s="1" t="s">
        <v>3376</v>
      </c>
      <c r="C1354" s="1" t="s">
        <v>3411</v>
      </c>
      <c r="D1354" s="1" t="str">
        <f>"7010"</f>
        <v>7010</v>
      </c>
      <c r="E1354" s="1" t="str">
        <f>"016167730"</f>
        <v>016167730</v>
      </c>
      <c r="F1354" s="1" t="s">
        <v>2255</v>
      </c>
      <c r="G1354" s="3" t="s">
        <v>15</v>
      </c>
      <c r="H1354" s="3" t="str">
        <f>"3"</f>
        <v>3</v>
      </c>
      <c r="I1354" s="4">
        <v>5360.03</v>
      </c>
      <c r="J1354" s="2">
        <v>45881</v>
      </c>
      <c r="K1354" s="1" t="s">
        <v>3412</v>
      </c>
    </row>
    <row r="1355" spans="1:11" x14ac:dyDescent="0.35">
      <c r="A1355" s="3" t="s">
        <v>3183</v>
      </c>
      <c r="B1355" s="1" t="s">
        <v>3376</v>
      </c>
      <c r="C1355" s="1" t="s">
        <v>3419</v>
      </c>
      <c r="D1355" s="1" t="str">
        <f>"8465"</f>
        <v>8465</v>
      </c>
      <c r="E1355" s="1" t="str">
        <f>"015236276"</f>
        <v>015236276</v>
      </c>
      <c r="F1355" s="1" t="s">
        <v>3420</v>
      </c>
      <c r="G1355" s="3" t="s">
        <v>58</v>
      </c>
      <c r="H1355" s="3" t="str">
        <f>"32"</f>
        <v>32</v>
      </c>
      <c r="I1355" s="4">
        <v>265.95999999999998</v>
      </c>
      <c r="J1355" s="2">
        <v>45881</v>
      </c>
      <c r="K1355" s="1" t="s">
        <v>3421</v>
      </c>
    </row>
    <row r="1356" spans="1:11" x14ac:dyDescent="0.35">
      <c r="A1356" s="3" t="s">
        <v>3183</v>
      </c>
      <c r="B1356" s="1" t="s">
        <v>3306</v>
      </c>
      <c r="C1356" s="1" t="s">
        <v>3307</v>
      </c>
      <c r="D1356" s="1" t="str">
        <f>"4940"</f>
        <v>4940</v>
      </c>
      <c r="E1356" s="1" t="s">
        <v>3308</v>
      </c>
      <c r="F1356" s="1" t="s">
        <v>3309</v>
      </c>
      <c r="G1356" s="3" t="s">
        <v>15</v>
      </c>
      <c r="H1356" s="3" t="str">
        <f>"1"</f>
        <v>1</v>
      </c>
      <c r="I1356" s="4">
        <v>8483.61</v>
      </c>
      <c r="J1356" s="2">
        <v>45880</v>
      </c>
      <c r="K1356" s="1" t="s">
        <v>3310</v>
      </c>
    </row>
    <row r="1357" spans="1:11" x14ac:dyDescent="0.35">
      <c r="A1357" s="3" t="s">
        <v>3183</v>
      </c>
      <c r="B1357" s="1" t="s">
        <v>3435</v>
      </c>
      <c r="C1357" s="1" t="s">
        <v>3436</v>
      </c>
      <c r="D1357" s="1" t="str">
        <f>"1005"</f>
        <v>1005</v>
      </c>
      <c r="E1357" s="1" t="str">
        <f>"015267354"</f>
        <v>015267354</v>
      </c>
      <c r="F1357" s="1" t="s">
        <v>139</v>
      </c>
      <c r="G1357" s="3" t="s">
        <v>19</v>
      </c>
      <c r="H1357" s="3" t="str">
        <f>"8"</f>
        <v>8</v>
      </c>
      <c r="I1357" s="4">
        <v>124.33</v>
      </c>
      <c r="J1357" s="2">
        <v>45880</v>
      </c>
      <c r="K1357" s="1" t="s">
        <v>3437</v>
      </c>
    </row>
    <row r="1358" spans="1:11" x14ac:dyDescent="0.35">
      <c r="A1358" s="3" t="s">
        <v>3183</v>
      </c>
      <c r="B1358" s="1" t="s">
        <v>3435</v>
      </c>
      <c r="C1358" s="1" t="s">
        <v>3440</v>
      </c>
      <c r="D1358" s="1" t="str">
        <f>"2010"</f>
        <v>2010</v>
      </c>
      <c r="E1358" s="1" t="s">
        <v>571</v>
      </c>
      <c r="F1358" s="1" t="s">
        <v>572</v>
      </c>
      <c r="G1358" s="3" t="s">
        <v>15</v>
      </c>
      <c r="H1358" s="3" t="str">
        <f>"1"</f>
        <v>1</v>
      </c>
      <c r="I1358" s="4" t="str">
        <f>"500"</f>
        <v>500</v>
      </c>
      <c r="J1358" s="2">
        <v>45880</v>
      </c>
      <c r="K1358" s="1" t="s">
        <v>3441</v>
      </c>
    </row>
    <row r="1359" spans="1:11" x14ac:dyDescent="0.35">
      <c r="A1359" s="3" t="s">
        <v>3183</v>
      </c>
      <c r="B1359" s="1" t="s">
        <v>3435</v>
      </c>
      <c r="C1359" s="1" t="s">
        <v>3446</v>
      </c>
      <c r="D1359" s="1" t="str">
        <f>"2320"</f>
        <v>2320</v>
      </c>
      <c r="E1359" s="1" t="str">
        <f>"014364773"</f>
        <v>014364773</v>
      </c>
      <c r="F1359" s="1" t="s">
        <v>117</v>
      </c>
      <c r="G1359" s="3" t="s">
        <v>15</v>
      </c>
      <c r="H1359" s="3" t="str">
        <f>"1"</f>
        <v>1</v>
      </c>
      <c r="I1359" s="4" t="str">
        <f>"21046"</f>
        <v>21046</v>
      </c>
      <c r="J1359" s="2">
        <v>45880</v>
      </c>
      <c r="K1359" s="1" t="s">
        <v>3447</v>
      </c>
    </row>
    <row r="1360" spans="1:11" x14ac:dyDescent="0.35">
      <c r="A1360" s="3" t="s">
        <v>3183</v>
      </c>
      <c r="B1360" s="1" t="s">
        <v>3435</v>
      </c>
      <c r="C1360" s="1" t="s">
        <v>3456</v>
      </c>
      <c r="D1360" s="1" t="str">
        <f>"2340"</f>
        <v>2340</v>
      </c>
      <c r="E1360" s="1" t="s">
        <v>694</v>
      </c>
      <c r="F1360" s="1" t="s">
        <v>695</v>
      </c>
      <c r="G1360" s="3" t="s">
        <v>15</v>
      </c>
      <c r="H1360" s="3" t="str">
        <f>"1"</f>
        <v>1</v>
      </c>
      <c r="I1360" s="4" t="str">
        <f>"3000"</f>
        <v>3000</v>
      </c>
      <c r="J1360" s="2">
        <v>45880</v>
      </c>
      <c r="K1360" s="1" t="s">
        <v>3457</v>
      </c>
    </row>
    <row r="1361" spans="1:11" x14ac:dyDescent="0.35">
      <c r="A1361" s="3" t="s">
        <v>3183</v>
      </c>
      <c r="B1361" s="1" t="s">
        <v>3364</v>
      </c>
      <c r="C1361" s="1" t="s">
        <v>3365</v>
      </c>
      <c r="D1361" s="1" t="str">
        <f>"5855"</f>
        <v>5855</v>
      </c>
      <c r="E1361" s="1" t="str">
        <f>"015847217"</f>
        <v>015847217</v>
      </c>
      <c r="F1361" s="1" t="s">
        <v>1942</v>
      </c>
      <c r="G1361" s="3" t="s">
        <v>15</v>
      </c>
      <c r="H1361" s="3" t="str">
        <f>"4"</f>
        <v>4</v>
      </c>
      <c r="I1361" s="4" t="str">
        <f>"35674"</f>
        <v>35674</v>
      </c>
      <c r="J1361" s="2">
        <v>45878</v>
      </c>
      <c r="K1361" s="1" t="s">
        <v>3366</v>
      </c>
    </row>
    <row r="1362" spans="1:11" x14ac:dyDescent="0.35">
      <c r="A1362" s="3" t="s">
        <v>3183</v>
      </c>
      <c r="B1362" s="1" t="s">
        <v>3331</v>
      </c>
      <c r="C1362" s="1" t="s">
        <v>3332</v>
      </c>
      <c r="D1362" s="1" t="str">
        <f>"8140"</f>
        <v>8140</v>
      </c>
      <c r="E1362" s="1" t="str">
        <f>"009601699"</f>
        <v>009601699</v>
      </c>
      <c r="F1362" s="1" t="s">
        <v>1599</v>
      </c>
      <c r="G1362" s="3" t="s">
        <v>15</v>
      </c>
      <c r="H1362" s="3" t="str">
        <f>"80"</f>
        <v>80</v>
      </c>
      <c r="I1362" s="4">
        <v>11.1</v>
      </c>
      <c r="J1362" s="2">
        <v>45877</v>
      </c>
      <c r="K1362" s="1" t="s">
        <v>3333</v>
      </c>
    </row>
    <row r="1363" spans="1:11" x14ac:dyDescent="0.35">
      <c r="A1363" s="3" t="s">
        <v>3183</v>
      </c>
      <c r="B1363" s="1" t="s">
        <v>3376</v>
      </c>
      <c r="C1363" s="1" t="s">
        <v>3381</v>
      </c>
      <c r="D1363" s="1" t="str">
        <f>"2320"</f>
        <v>2320</v>
      </c>
      <c r="E1363" s="1" t="str">
        <f>"010919076"</f>
        <v>010919076</v>
      </c>
      <c r="F1363" s="1" t="s">
        <v>1448</v>
      </c>
      <c r="G1363" s="3" t="s">
        <v>15</v>
      </c>
      <c r="H1363" s="3" t="str">
        <f>"1"</f>
        <v>1</v>
      </c>
      <c r="I1363" s="4" t="str">
        <f>"18044"</f>
        <v>18044</v>
      </c>
      <c r="J1363" s="2">
        <v>45875</v>
      </c>
      <c r="K1363" s="1" t="s">
        <v>3382</v>
      </c>
    </row>
    <row r="1364" spans="1:11" x14ac:dyDescent="0.35">
      <c r="A1364" s="3" t="s">
        <v>3183</v>
      </c>
      <c r="B1364" s="1" t="s">
        <v>3376</v>
      </c>
      <c r="C1364" s="1" t="s">
        <v>3417</v>
      </c>
      <c r="D1364" s="1" t="str">
        <f>"8465"</f>
        <v>8465</v>
      </c>
      <c r="E1364" s="1" t="str">
        <f>"016046325"</f>
        <v>016046325</v>
      </c>
      <c r="F1364" s="1" t="s">
        <v>2210</v>
      </c>
      <c r="G1364" s="3" t="s">
        <v>19</v>
      </c>
      <c r="H1364" s="3" t="str">
        <f>"17"</f>
        <v>17</v>
      </c>
      <c r="I1364" s="4">
        <v>11407.95</v>
      </c>
      <c r="J1364" s="2">
        <v>45875</v>
      </c>
      <c r="K1364" s="1" t="s">
        <v>3418</v>
      </c>
    </row>
    <row r="1365" spans="1:11" x14ac:dyDescent="0.35">
      <c r="A1365" s="3" t="s">
        <v>3183</v>
      </c>
      <c r="B1365" s="1" t="s">
        <v>3495</v>
      </c>
      <c r="C1365" s="1" t="s">
        <v>3504</v>
      </c>
      <c r="D1365" s="1" t="str">
        <f>"8105"</f>
        <v>8105</v>
      </c>
      <c r="E1365" s="1" t="str">
        <f>"001429345"</f>
        <v>001429345</v>
      </c>
      <c r="F1365" s="1" t="s">
        <v>1656</v>
      </c>
      <c r="G1365" s="3" t="s">
        <v>1657</v>
      </c>
      <c r="H1365" s="3" t="str">
        <f>"8"</f>
        <v>8</v>
      </c>
      <c r="I1365" s="4">
        <v>74.75</v>
      </c>
      <c r="J1365" s="2">
        <v>45875</v>
      </c>
      <c r="K1365" s="1" t="s">
        <v>3505</v>
      </c>
    </row>
    <row r="1366" spans="1:11" x14ac:dyDescent="0.35">
      <c r="A1366" s="3" t="s">
        <v>3183</v>
      </c>
      <c r="B1366" s="1" t="s">
        <v>3495</v>
      </c>
      <c r="C1366" s="1" t="s">
        <v>3506</v>
      </c>
      <c r="D1366" s="1" t="str">
        <f>"8470"</f>
        <v>8470</v>
      </c>
      <c r="E1366" s="1" t="str">
        <f>"016878107"</f>
        <v>016878107</v>
      </c>
      <c r="F1366" s="1" t="s">
        <v>3507</v>
      </c>
      <c r="G1366" s="3" t="s">
        <v>15</v>
      </c>
      <c r="H1366" s="3" t="str">
        <f>"1"</f>
        <v>1</v>
      </c>
      <c r="I1366" s="4">
        <v>2402.04</v>
      </c>
      <c r="J1366" s="2">
        <v>45875</v>
      </c>
      <c r="K1366" s="1" t="s">
        <v>3508</v>
      </c>
    </row>
    <row r="1367" spans="1:11" x14ac:dyDescent="0.35">
      <c r="A1367" s="3" t="s">
        <v>3183</v>
      </c>
      <c r="B1367" s="1" t="s">
        <v>3376</v>
      </c>
      <c r="C1367" s="1" t="s">
        <v>3383</v>
      </c>
      <c r="D1367" s="1" t="str">
        <f>"3930"</f>
        <v>3930</v>
      </c>
      <c r="E1367" s="1" t="str">
        <f>"011580849"</f>
        <v>011580849</v>
      </c>
      <c r="F1367" s="1" t="s">
        <v>2176</v>
      </c>
      <c r="G1367" s="3" t="s">
        <v>15</v>
      </c>
      <c r="H1367" s="3" t="str">
        <f>"1"</f>
        <v>1</v>
      </c>
      <c r="I1367" s="4" t="str">
        <f>"72370"</f>
        <v>72370</v>
      </c>
      <c r="J1367" s="2">
        <v>45874</v>
      </c>
      <c r="K1367" s="1" t="s">
        <v>3384</v>
      </c>
    </row>
    <row r="1368" spans="1:11" x14ac:dyDescent="0.35">
      <c r="A1368" s="3" t="s">
        <v>3183</v>
      </c>
      <c r="B1368" s="1" t="s">
        <v>3376</v>
      </c>
      <c r="C1368" s="1" t="s">
        <v>3391</v>
      </c>
      <c r="D1368" s="1" t="str">
        <f>"4940"</f>
        <v>4940</v>
      </c>
      <c r="E1368" s="1" t="str">
        <f>"014549877"</f>
        <v>014549877</v>
      </c>
      <c r="F1368" s="1" t="s">
        <v>3343</v>
      </c>
      <c r="G1368" s="3" t="s">
        <v>15</v>
      </c>
      <c r="H1368" s="3" t="str">
        <f>"1"</f>
        <v>1</v>
      </c>
      <c r="I1368" s="4" t="str">
        <f>"35000"</f>
        <v>35000</v>
      </c>
      <c r="J1368" s="2">
        <v>45874</v>
      </c>
      <c r="K1368" s="1" t="s">
        <v>3392</v>
      </c>
    </row>
    <row r="1369" spans="1:11" x14ac:dyDescent="0.35">
      <c r="A1369" s="3" t="s">
        <v>3183</v>
      </c>
      <c r="B1369" s="1" t="s">
        <v>3321</v>
      </c>
      <c r="C1369" s="1" t="s">
        <v>3324</v>
      </c>
      <c r="D1369" s="1" t="str">
        <f>"5965"</f>
        <v>5965</v>
      </c>
      <c r="E1369" s="1" t="str">
        <f>"016273195"</f>
        <v>016273195</v>
      </c>
      <c r="F1369" s="1" t="s">
        <v>1389</v>
      </c>
      <c r="G1369" s="3" t="s">
        <v>15</v>
      </c>
      <c r="H1369" s="3" t="str">
        <f>"7"</f>
        <v>7</v>
      </c>
      <c r="I1369" s="4">
        <v>728.08</v>
      </c>
      <c r="J1369" s="2">
        <v>45873</v>
      </c>
      <c r="K1369" s="1" t="s">
        <v>3325</v>
      </c>
    </row>
    <row r="1370" spans="1:11" x14ac:dyDescent="0.35">
      <c r="A1370" s="3" t="s">
        <v>3183</v>
      </c>
      <c r="B1370" s="1" t="s">
        <v>3339</v>
      </c>
      <c r="C1370" s="1" t="s">
        <v>3345</v>
      </c>
      <c r="D1370" s="1" t="str">
        <f>"8145"</f>
        <v>8145</v>
      </c>
      <c r="E1370" s="1" t="str">
        <f>"013252243"</f>
        <v>013252243</v>
      </c>
      <c r="F1370" s="1" t="s">
        <v>599</v>
      </c>
      <c r="G1370" s="3" t="s">
        <v>15</v>
      </c>
      <c r="H1370" s="3" t="str">
        <f>"1"</f>
        <v>1</v>
      </c>
      <c r="I1370" s="4">
        <v>84318.16</v>
      </c>
      <c r="J1370" s="2">
        <v>45873</v>
      </c>
      <c r="K1370" s="1" t="s">
        <v>3346</v>
      </c>
    </row>
    <row r="1371" spans="1:11" x14ac:dyDescent="0.35">
      <c r="A1371" s="3" t="s">
        <v>3183</v>
      </c>
      <c r="B1371" s="1" t="s">
        <v>3256</v>
      </c>
      <c r="C1371" s="1" t="s">
        <v>3269</v>
      </c>
      <c r="D1371" s="1" t="str">
        <f>"3750"</f>
        <v>3750</v>
      </c>
      <c r="E1371" s="1" t="s">
        <v>392</v>
      </c>
      <c r="F1371" s="1" t="s">
        <v>393</v>
      </c>
      <c r="G1371" s="3" t="s">
        <v>15</v>
      </c>
      <c r="H1371" s="3" t="str">
        <f>"1"</f>
        <v>1</v>
      </c>
      <c r="I1371" s="4" t="str">
        <f>"1500"</f>
        <v>1500</v>
      </c>
      <c r="J1371" s="2">
        <v>45868</v>
      </c>
      <c r="K1371" s="1" t="s">
        <v>3270</v>
      </c>
    </row>
    <row r="1372" spans="1:11" x14ac:dyDescent="0.35">
      <c r="A1372" s="3" t="s">
        <v>3183</v>
      </c>
      <c r="B1372" s="1" t="s">
        <v>3184</v>
      </c>
      <c r="C1372" s="1" t="s">
        <v>3197</v>
      </c>
      <c r="D1372" s="1" t="str">
        <f>"2330"</f>
        <v>2330</v>
      </c>
      <c r="E1372" s="1" t="str">
        <f>"001226779"</f>
        <v>001226779</v>
      </c>
      <c r="F1372" s="1" t="s">
        <v>2230</v>
      </c>
      <c r="G1372" s="3" t="s">
        <v>15</v>
      </c>
      <c r="H1372" s="3" t="str">
        <f>"1"</f>
        <v>1</v>
      </c>
      <c r="I1372" s="4" t="str">
        <f>"17549"</f>
        <v>17549</v>
      </c>
      <c r="J1372" s="2">
        <v>45866</v>
      </c>
      <c r="K1372" s="1" t="s">
        <v>3198</v>
      </c>
    </row>
    <row r="1373" spans="1:11" x14ac:dyDescent="0.35">
      <c r="A1373" s="3" t="s">
        <v>3183</v>
      </c>
      <c r="B1373" s="1" t="s">
        <v>3328</v>
      </c>
      <c r="C1373" s="1" t="s">
        <v>3329</v>
      </c>
      <c r="D1373" s="1" t="str">
        <f>"2320"</f>
        <v>2320</v>
      </c>
      <c r="E1373" s="1" t="s">
        <v>321</v>
      </c>
      <c r="F1373" s="1" t="s">
        <v>322</v>
      </c>
      <c r="G1373" s="3" t="s">
        <v>15</v>
      </c>
      <c r="H1373" s="3" t="str">
        <f>"1"</f>
        <v>1</v>
      </c>
      <c r="I1373" s="4" t="str">
        <f>"50000"</f>
        <v>50000</v>
      </c>
      <c r="J1373" s="2">
        <v>45866</v>
      </c>
      <c r="K1373" s="1" t="s">
        <v>3330</v>
      </c>
    </row>
    <row r="1374" spans="1:11" x14ac:dyDescent="0.35">
      <c r="A1374" s="3" t="s">
        <v>3183</v>
      </c>
      <c r="B1374" s="1" t="s">
        <v>3339</v>
      </c>
      <c r="C1374" s="1" t="s">
        <v>3349</v>
      </c>
      <c r="D1374" s="1" t="str">
        <f>"8150"</f>
        <v>8150</v>
      </c>
      <c r="E1374" s="1" t="str">
        <f>"015287533"</f>
        <v>015287533</v>
      </c>
      <c r="F1374" s="1" t="s">
        <v>3350</v>
      </c>
      <c r="G1374" s="3" t="s">
        <v>15</v>
      </c>
      <c r="H1374" s="3" t="str">
        <f>"4"</f>
        <v>4</v>
      </c>
      <c r="I1374" s="4" t="str">
        <f>"5459"</f>
        <v>5459</v>
      </c>
      <c r="J1374" s="2">
        <v>45865</v>
      </c>
      <c r="K1374" s="1" t="s">
        <v>3351</v>
      </c>
    </row>
    <row r="1375" spans="1:11" x14ac:dyDescent="0.35">
      <c r="A1375" s="3" t="s">
        <v>3183</v>
      </c>
      <c r="B1375" s="1" t="s">
        <v>3184</v>
      </c>
      <c r="C1375" s="1" t="s">
        <v>3203</v>
      </c>
      <c r="D1375" s="1" t="str">
        <f>"3805"</f>
        <v>3805</v>
      </c>
      <c r="E1375" s="1" t="s">
        <v>2913</v>
      </c>
      <c r="F1375" s="1" t="s">
        <v>2914</v>
      </c>
      <c r="G1375" s="3" t="s">
        <v>15</v>
      </c>
      <c r="H1375" s="3" t="str">
        <f>"1"</f>
        <v>1</v>
      </c>
      <c r="I1375" s="4">
        <v>272956.84999999998</v>
      </c>
      <c r="J1375" s="2">
        <v>45863</v>
      </c>
      <c r="K1375" s="1" t="s">
        <v>3204</v>
      </c>
    </row>
    <row r="1376" spans="1:11" x14ac:dyDescent="0.35">
      <c r="A1376" s="3" t="s">
        <v>3183</v>
      </c>
      <c r="B1376" s="1" t="s">
        <v>3334</v>
      </c>
      <c r="C1376" s="1" t="s">
        <v>3338</v>
      </c>
      <c r="D1376" s="1" t="str">
        <f>"1385"</f>
        <v>1385</v>
      </c>
      <c r="E1376" s="1" t="str">
        <f>"015936219"</f>
        <v>015936219</v>
      </c>
      <c r="F1376" s="1" t="s">
        <v>67</v>
      </c>
      <c r="G1376" s="3" t="s">
        <v>15</v>
      </c>
      <c r="H1376" s="3" t="str">
        <f>"1"</f>
        <v>1</v>
      </c>
      <c r="I1376" s="4" t="str">
        <f>"77000"</f>
        <v>77000</v>
      </c>
      <c r="J1376" s="2">
        <v>45862</v>
      </c>
      <c r="K1376" s="1" t="s">
        <v>3336</v>
      </c>
    </row>
    <row r="1377" spans="1:11" x14ac:dyDescent="0.35">
      <c r="A1377" s="3" t="s">
        <v>3183</v>
      </c>
      <c r="B1377" s="1" t="s">
        <v>3184</v>
      </c>
      <c r="C1377" s="1" t="s">
        <v>3205</v>
      </c>
      <c r="D1377" s="1" t="str">
        <f>"3805"</f>
        <v>3805</v>
      </c>
      <c r="E1377" s="1" t="str">
        <f>"010667763"</f>
        <v>010667763</v>
      </c>
      <c r="F1377" s="1" t="s">
        <v>587</v>
      </c>
      <c r="G1377" s="3" t="s">
        <v>15</v>
      </c>
      <c r="H1377" s="3" t="str">
        <f>"1"</f>
        <v>1</v>
      </c>
      <c r="I1377" s="4" t="str">
        <f>"160000"</f>
        <v>160000</v>
      </c>
      <c r="J1377" s="2">
        <v>45861</v>
      </c>
      <c r="K1377" s="1" t="s">
        <v>3206</v>
      </c>
    </row>
    <row r="1378" spans="1:11" x14ac:dyDescent="0.35">
      <c r="A1378" s="3" t="s">
        <v>3183</v>
      </c>
      <c r="B1378" s="1" t="s">
        <v>3184</v>
      </c>
      <c r="C1378" s="1" t="s">
        <v>3209</v>
      </c>
      <c r="D1378" s="1" t="str">
        <f>"3930"</f>
        <v>3930</v>
      </c>
      <c r="E1378" s="1" t="str">
        <f>"010907716"</f>
        <v>010907716</v>
      </c>
      <c r="F1378" s="1" t="s">
        <v>2176</v>
      </c>
      <c r="G1378" s="3" t="s">
        <v>15</v>
      </c>
      <c r="H1378" s="3" t="str">
        <f>"1"</f>
        <v>1</v>
      </c>
      <c r="I1378" s="4" t="str">
        <f>"23870"</f>
        <v>23870</v>
      </c>
      <c r="J1378" s="2">
        <v>45861</v>
      </c>
      <c r="K1378" s="1" t="s">
        <v>3210</v>
      </c>
    </row>
    <row r="1379" spans="1:11" x14ac:dyDescent="0.35">
      <c r="A1379" s="3" t="s">
        <v>3183</v>
      </c>
      <c r="B1379" s="1" t="s">
        <v>3364</v>
      </c>
      <c r="C1379" s="1" t="s">
        <v>3367</v>
      </c>
      <c r="D1379" s="1" t="str">
        <f>"5855"</f>
        <v>5855</v>
      </c>
      <c r="E1379" s="1" t="str">
        <f>"012468271"</f>
        <v>012468271</v>
      </c>
      <c r="F1379" s="1" t="s">
        <v>3368</v>
      </c>
      <c r="G1379" s="3" t="s">
        <v>15</v>
      </c>
      <c r="H1379" s="3" t="str">
        <f>"50"</f>
        <v>50</v>
      </c>
      <c r="I1379" s="4">
        <v>15.38</v>
      </c>
      <c r="J1379" s="2">
        <v>45861</v>
      </c>
      <c r="K1379" s="1" t="s">
        <v>3369</v>
      </c>
    </row>
    <row r="1380" spans="1:11" x14ac:dyDescent="0.35">
      <c r="A1380" s="3" t="s">
        <v>3183</v>
      </c>
      <c r="B1380" s="1" t="s">
        <v>3495</v>
      </c>
      <c r="C1380" s="1" t="s">
        <v>3500</v>
      </c>
      <c r="D1380" s="1" t="str">
        <f>"5855"</f>
        <v>5855</v>
      </c>
      <c r="E1380" s="1" t="str">
        <f>"016109312"</f>
        <v>016109312</v>
      </c>
      <c r="F1380" s="1" t="s">
        <v>2055</v>
      </c>
      <c r="G1380" s="3" t="s">
        <v>15</v>
      </c>
      <c r="H1380" s="3" t="str">
        <f>"3"</f>
        <v>3</v>
      </c>
      <c r="I1380" s="4" t="str">
        <f>"397"</f>
        <v>397</v>
      </c>
      <c r="J1380" s="2">
        <v>45861</v>
      </c>
      <c r="K1380" s="1" t="s">
        <v>3501</v>
      </c>
    </row>
    <row r="1381" spans="1:11" x14ac:dyDescent="0.35">
      <c r="A1381" s="3" t="s">
        <v>3183</v>
      </c>
      <c r="B1381" s="1" t="s">
        <v>3233</v>
      </c>
      <c r="C1381" s="1" t="s">
        <v>3234</v>
      </c>
      <c r="D1381" s="1" t="str">
        <f>"2330"</f>
        <v>2330</v>
      </c>
      <c r="E1381" s="1" t="str">
        <f>"015981677"</f>
        <v>015981677</v>
      </c>
      <c r="F1381" s="1" t="s">
        <v>3235</v>
      </c>
      <c r="G1381" s="3" t="s">
        <v>15</v>
      </c>
      <c r="H1381" s="3" t="str">
        <f>"1"</f>
        <v>1</v>
      </c>
      <c r="I1381" s="4" t="str">
        <f>"150000"</f>
        <v>150000</v>
      </c>
      <c r="J1381" s="2">
        <v>45860</v>
      </c>
      <c r="K1381" s="1" t="s">
        <v>3236</v>
      </c>
    </row>
    <row r="1382" spans="1:11" x14ac:dyDescent="0.35">
      <c r="A1382" s="3" t="s">
        <v>3183</v>
      </c>
      <c r="B1382" s="1" t="s">
        <v>3256</v>
      </c>
      <c r="C1382" s="1" t="s">
        <v>3267</v>
      </c>
      <c r="D1382" s="1" t="str">
        <f>"2330"</f>
        <v>2330</v>
      </c>
      <c r="E1382" s="1" t="str">
        <f>"015981677"</f>
        <v>015981677</v>
      </c>
      <c r="F1382" s="1" t="s">
        <v>3235</v>
      </c>
      <c r="G1382" s="3" t="s">
        <v>15</v>
      </c>
      <c r="H1382" s="3" t="str">
        <f>"1"</f>
        <v>1</v>
      </c>
      <c r="I1382" s="4" t="str">
        <f>"150000"</f>
        <v>150000</v>
      </c>
      <c r="J1382" s="2">
        <v>45856</v>
      </c>
      <c r="K1382" s="1" t="s">
        <v>3268</v>
      </c>
    </row>
    <row r="1383" spans="1:11" x14ac:dyDescent="0.35">
      <c r="A1383" s="3" t="s">
        <v>3183</v>
      </c>
      <c r="B1383" s="1" t="s">
        <v>3256</v>
      </c>
      <c r="C1383" s="1" t="s">
        <v>3273</v>
      </c>
      <c r="D1383" s="1" t="str">
        <f>"3895"</f>
        <v>3895</v>
      </c>
      <c r="E1383" s="1" t="str">
        <f>"016100184"</f>
        <v>016100184</v>
      </c>
      <c r="F1383" s="1" t="s">
        <v>3274</v>
      </c>
      <c r="G1383" s="3" t="s">
        <v>15</v>
      </c>
      <c r="H1383" s="3" t="str">
        <f>"2"</f>
        <v>2</v>
      </c>
      <c r="I1383" s="4" t="str">
        <f>"5614"</f>
        <v>5614</v>
      </c>
      <c r="J1383" s="2">
        <v>45856</v>
      </c>
      <c r="K1383" s="1" t="s">
        <v>3275</v>
      </c>
    </row>
    <row r="1384" spans="1:11" x14ac:dyDescent="0.35">
      <c r="A1384" s="3" t="s">
        <v>3183</v>
      </c>
      <c r="B1384" s="1" t="s">
        <v>3256</v>
      </c>
      <c r="C1384" s="1" t="s">
        <v>3278</v>
      </c>
      <c r="D1384" s="1" t="str">
        <f>"4310"</f>
        <v>4310</v>
      </c>
      <c r="E1384" s="1" t="s">
        <v>124</v>
      </c>
      <c r="F1384" s="1" t="s">
        <v>125</v>
      </c>
      <c r="G1384" s="3" t="s">
        <v>15</v>
      </c>
      <c r="H1384" s="3" t="str">
        <f>"1"</f>
        <v>1</v>
      </c>
      <c r="I1384" s="4">
        <v>999.99</v>
      </c>
      <c r="J1384" s="2">
        <v>45856</v>
      </c>
      <c r="K1384" s="1" t="s">
        <v>3279</v>
      </c>
    </row>
    <row r="1385" spans="1:11" x14ac:dyDescent="0.35">
      <c r="A1385" s="3" t="s">
        <v>3183</v>
      </c>
      <c r="B1385" s="1" t="s">
        <v>3256</v>
      </c>
      <c r="C1385" s="1" t="s">
        <v>3280</v>
      </c>
      <c r="D1385" s="1" t="str">
        <f>"5180"</f>
        <v>5180</v>
      </c>
      <c r="E1385" s="1" t="str">
        <f>"014472199"</f>
        <v>014472199</v>
      </c>
      <c r="F1385" s="1" t="s">
        <v>85</v>
      </c>
      <c r="G1385" s="3" t="s">
        <v>15</v>
      </c>
      <c r="H1385" s="3" t="str">
        <f>"1"</f>
        <v>1</v>
      </c>
      <c r="I1385" s="4">
        <v>8116.1</v>
      </c>
      <c r="J1385" s="2">
        <v>45856</v>
      </c>
      <c r="K1385" s="1" t="s">
        <v>3281</v>
      </c>
    </row>
    <row r="1386" spans="1:11" x14ac:dyDescent="0.35">
      <c r="A1386" s="3" t="s">
        <v>3183</v>
      </c>
      <c r="B1386" s="1" t="s">
        <v>3233</v>
      </c>
      <c r="C1386" s="1" t="s">
        <v>3237</v>
      </c>
      <c r="D1386" s="1" t="str">
        <f>"3930"</f>
        <v>3930</v>
      </c>
      <c r="E1386" s="1" t="s">
        <v>1706</v>
      </c>
      <c r="F1386" s="1" t="s">
        <v>1707</v>
      </c>
      <c r="G1386" s="3" t="s">
        <v>15</v>
      </c>
      <c r="H1386" s="3" t="str">
        <f>"1"</f>
        <v>1</v>
      </c>
      <c r="I1386" s="4" t="str">
        <f>"84000"</f>
        <v>84000</v>
      </c>
      <c r="J1386" s="2">
        <v>45852</v>
      </c>
      <c r="K1386" s="1" t="s">
        <v>3238</v>
      </c>
    </row>
    <row r="1387" spans="1:11" x14ac:dyDescent="0.35">
      <c r="A1387" s="3" t="s">
        <v>3183</v>
      </c>
      <c r="B1387" s="1" t="s">
        <v>3233</v>
      </c>
      <c r="C1387" s="1" t="s">
        <v>3239</v>
      </c>
      <c r="D1387" s="1" t="str">
        <f>"3930"</f>
        <v>3930</v>
      </c>
      <c r="E1387" s="1" t="s">
        <v>1706</v>
      </c>
      <c r="F1387" s="1" t="s">
        <v>1707</v>
      </c>
      <c r="G1387" s="3" t="s">
        <v>15</v>
      </c>
      <c r="H1387" s="3" t="str">
        <f>"1"</f>
        <v>1</v>
      </c>
      <c r="I1387" s="4" t="str">
        <f>"84000"</f>
        <v>84000</v>
      </c>
      <c r="J1387" s="2">
        <v>45852</v>
      </c>
      <c r="K1387" s="1" t="s">
        <v>3240</v>
      </c>
    </row>
    <row r="1388" spans="1:11" x14ac:dyDescent="0.35">
      <c r="A1388" s="3" t="s">
        <v>3183</v>
      </c>
      <c r="B1388" s="1" t="s">
        <v>3352</v>
      </c>
      <c r="C1388" s="1" t="s">
        <v>3353</v>
      </c>
      <c r="D1388" s="1" t="str">
        <f>"2320"</f>
        <v>2320</v>
      </c>
      <c r="E1388" s="1" t="str">
        <f>"012157631"</f>
        <v>012157631</v>
      </c>
      <c r="F1388" s="1" t="s">
        <v>117</v>
      </c>
      <c r="G1388" s="3" t="s">
        <v>15</v>
      </c>
      <c r="H1388" s="3" t="str">
        <f>"1"</f>
        <v>1</v>
      </c>
      <c r="I1388" s="4" t="str">
        <f>"33082"</f>
        <v>33082</v>
      </c>
      <c r="J1388" s="2">
        <v>45852</v>
      </c>
      <c r="K1388" s="1" t="s">
        <v>3354</v>
      </c>
    </row>
    <row r="1389" spans="1:11" x14ac:dyDescent="0.35">
      <c r="A1389" s="3" t="s">
        <v>3183</v>
      </c>
      <c r="B1389" s="1" t="s">
        <v>3352</v>
      </c>
      <c r="C1389" s="1" t="s">
        <v>3355</v>
      </c>
      <c r="D1389" s="1" t="str">
        <f>"2320"</f>
        <v>2320</v>
      </c>
      <c r="E1389" s="1" t="str">
        <f>"009263589"</f>
        <v>009263589</v>
      </c>
      <c r="F1389" s="1" t="s">
        <v>114</v>
      </c>
      <c r="G1389" s="3" t="s">
        <v>15</v>
      </c>
      <c r="H1389" s="3" t="str">
        <f>"1"</f>
        <v>1</v>
      </c>
      <c r="I1389" s="4" t="str">
        <f>"28829"</f>
        <v>28829</v>
      </c>
      <c r="J1389" s="2">
        <v>45852</v>
      </c>
      <c r="K1389" s="1" t="s">
        <v>3356</v>
      </c>
    </row>
    <row r="1390" spans="1:11" x14ac:dyDescent="0.35">
      <c r="A1390" s="3" t="s">
        <v>3183</v>
      </c>
      <c r="B1390" s="1" t="s">
        <v>3184</v>
      </c>
      <c r="C1390" s="1" t="s">
        <v>3189</v>
      </c>
      <c r="D1390" s="1" t="str">
        <f>"2310"</f>
        <v>2310</v>
      </c>
      <c r="E1390" s="1" t="s">
        <v>2377</v>
      </c>
      <c r="F1390" s="1" t="s">
        <v>2378</v>
      </c>
      <c r="G1390" s="3" t="s">
        <v>15</v>
      </c>
      <c r="H1390" s="3" t="str">
        <f>"1"</f>
        <v>1</v>
      </c>
      <c r="I1390" s="4">
        <v>26216.57</v>
      </c>
      <c r="J1390" s="2">
        <v>45849</v>
      </c>
      <c r="K1390" s="1" t="s">
        <v>3190</v>
      </c>
    </row>
    <row r="1391" spans="1:11" x14ac:dyDescent="0.35">
      <c r="A1391" s="3" t="s">
        <v>3183</v>
      </c>
      <c r="B1391" s="1" t="s">
        <v>3184</v>
      </c>
      <c r="C1391" s="1" t="s">
        <v>3193</v>
      </c>
      <c r="D1391" s="1" t="str">
        <f>"2320"</f>
        <v>2320</v>
      </c>
      <c r="E1391" s="1" t="s">
        <v>1871</v>
      </c>
      <c r="F1391" s="1" t="s">
        <v>1872</v>
      </c>
      <c r="G1391" s="3" t="s">
        <v>15</v>
      </c>
      <c r="H1391" s="3" t="str">
        <f>"1"</f>
        <v>1</v>
      </c>
      <c r="I1391" s="4">
        <v>25830.75</v>
      </c>
      <c r="J1391" s="2">
        <v>45849</v>
      </c>
      <c r="K1391" s="1" t="s">
        <v>3194</v>
      </c>
    </row>
    <row r="1392" spans="1:11" x14ac:dyDescent="0.35">
      <c r="A1392" s="3" t="s">
        <v>3183</v>
      </c>
      <c r="B1392" s="1" t="s">
        <v>3256</v>
      </c>
      <c r="C1392" s="1" t="s">
        <v>3261</v>
      </c>
      <c r="D1392" s="1" t="str">
        <f>"2330"</f>
        <v>2330</v>
      </c>
      <c r="E1392" s="1" t="str">
        <f>"005422039"</f>
        <v>005422039</v>
      </c>
      <c r="F1392" s="1" t="s">
        <v>1698</v>
      </c>
      <c r="G1392" s="3" t="s">
        <v>15</v>
      </c>
      <c r="H1392" s="3" t="str">
        <f>"1"</f>
        <v>1</v>
      </c>
      <c r="I1392" s="4" t="str">
        <f>"2114"</f>
        <v>2114</v>
      </c>
      <c r="J1392" s="2">
        <v>45849</v>
      </c>
      <c r="K1392" s="1" t="s">
        <v>3262</v>
      </c>
    </row>
    <row r="1393" spans="1:11" x14ac:dyDescent="0.35">
      <c r="A1393" s="3" t="s">
        <v>3183</v>
      </c>
      <c r="B1393" s="1" t="s">
        <v>3357</v>
      </c>
      <c r="C1393" s="1" t="s">
        <v>3358</v>
      </c>
      <c r="D1393" s="1" t="str">
        <f>"2310"</f>
        <v>2310</v>
      </c>
      <c r="E1393" s="1" t="str">
        <f>"014456776"</f>
        <v>014456776</v>
      </c>
      <c r="F1393" s="1" t="s">
        <v>3359</v>
      </c>
      <c r="G1393" s="3" t="s">
        <v>15</v>
      </c>
      <c r="H1393" s="3" t="str">
        <f>"1"</f>
        <v>1</v>
      </c>
      <c r="I1393" s="4" t="str">
        <f>"121840"</f>
        <v>121840</v>
      </c>
      <c r="J1393" s="2">
        <v>45849</v>
      </c>
      <c r="K1393" s="1" t="s">
        <v>4313</v>
      </c>
    </row>
    <row r="1394" spans="1:11" x14ac:dyDescent="0.35">
      <c r="A1394" s="3" t="s">
        <v>3183</v>
      </c>
      <c r="B1394" s="1" t="s">
        <v>3422</v>
      </c>
      <c r="C1394" s="1" t="s">
        <v>3423</v>
      </c>
      <c r="D1394" s="1" t="str">
        <f>"8150"</f>
        <v>8150</v>
      </c>
      <c r="E1394" s="1" t="str">
        <f>"014638553"</f>
        <v>014638553</v>
      </c>
      <c r="F1394" s="1" t="s">
        <v>448</v>
      </c>
      <c r="G1394" s="3" t="s">
        <v>15</v>
      </c>
      <c r="H1394" s="3" t="str">
        <f>"2"</f>
        <v>2</v>
      </c>
      <c r="I1394" s="4">
        <v>7662.92</v>
      </c>
      <c r="J1394" s="2">
        <v>45849</v>
      </c>
      <c r="K1394" s="1" t="s">
        <v>3424</v>
      </c>
    </row>
    <row r="1395" spans="1:11" x14ac:dyDescent="0.35">
      <c r="A1395" s="3" t="s">
        <v>3183</v>
      </c>
      <c r="B1395" s="1" t="s">
        <v>3184</v>
      </c>
      <c r="C1395" s="1" t="s">
        <v>3185</v>
      </c>
      <c r="D1395" s="1" t="str">
        <f>"2310"</f>
        <v>2310</v>
      </c>
      <c r="E1395" s="1" t="s">
        <v>2377</v>
      </c>
      <c r="F1395" s="1" t="s">
        <v>2378</v>
      </c>
      <c r="G1395" s="3" t="s">
        <v>15</v>
      </c>
      <c r="H1395" s="3" t="str">
        <f>"1"</f>
        <v>1</v>
      </c>
      <c r="I1395" s="4">
        <v>25718.639999999999</v>
      </c>
      <c r="J1395" s="2">
        <v>45848</v>
      </c>
      <c r="K1395" s="1" t="s">
        <v>3186</v>
      </c>
    </row>
    <row r="1396" spans="1:11" x14ac:dyDescent="0.35">
      <c r="A1396" s="3" t="s">
        <v>3183</v>
      </c>
      <c r="B1396" s="1" t="s">
        <v>3184</v>
      </c>
      <c r="C1396" s="1" t="s">
        <v>3191</v>
      </c>
      <c r="D1396" s="1" t="str">
        <f>"2310"</f>
        <v>2310</v>
      </c>
      <c r="E1396" s="1" t="s">
        <v>413</v>
      </c>
      <c r="F1396" s="1" t="s">
        <v>414</v>
      </c>
      <c r="G1396" s="3" t="s">
        <v>15</v>
      </c>
      <c r="H1396" s="3" t="str">
        <f>"1"</f>
        <v>1</v>
      </c>
      <c r="I1396" s="4">
        <v>31378.68</v>
      </c>
      <c r="J1396" s="2">
        <v>45848</v>
      </c>
      <c r="K1396" s="1" t="s">
        <v>3192</v>
      </c>
    </row>
    <row r="1397" spans="1:11" x14ac:dyDescent="0.35">
      <c r="A1397" s="3" t="s">
        <v>3183</v>
      </c>
      <c r="B1397" s="1" t="s">
        <v>3184</v>
      </c>
      <c r="C1397" s="1" t="s">
        <v>3224</v>
      </c>
      <c r="D1397" s="1" t="str">
        <f>"7830"</f>
        <v>7830</v>
      </c>
      <c r="E1397" s="1" t="s">
        <v>1366</v>
      </c>
      <c r="F1397" s="1" t="s">
        <v>1367</v>
      </c>
      <c r="G1397" s="3" t="s">
        <v>15</v>
      </c>
      <c r="H1397" s="3" t="str">
        <f>"5"</f>
        <v>5</v>
      </c>
      <c r="I1397" s="4" t="str">
        <f>"200"</f>
        <v>200</v>
      </c>
      <c r="J1397" s="2">
        <v>45848</v>
      </c>
      <c r="K1397" s="1" t="s">
        <v>3225</v>
      </c>
    </row>
    <row r="1398" spans="1:11" x14ac:dyDescent="0.35">
      <c r="A1398" s="3" t="s">
        <v>3183</v>
      </c>
      <c r="B1398" s="1" t="s">
        <v>3184</v>
      </c>
      <c r="C1398" s="1" t="s">
        <v>3222</v>
      </c>
      <c r="D1398" s="1" t="str">
        <f>"7025"</f>
        <v>7025</v>
      </c>
      <c r="E1398" s="1" t="s">
        <v>1690</v>
      </c>
      <c r="F1398" s="1" t="s">
        <v>1691</v>
      </c>
      <c r="G1398" s="3" t="s">
        <v>15</v>
      </c>
      <c r="H1398" s="3" t="str">
        <f>"5"</f>
        <v>5</v>
      </c>
      <c r="I1398" s="4" t="str">
        <f>"1"</f>
        <v>1</v>
      </c>
      <c r="J1398" s="2">
        <v>45846</v>
      </c>
      <c r="K1398" s="1" t="s">
        <v>3223</v>
      </c>
    </row>
    <row r="1399" spans="1:11" x14ac:dyDescent="0.35">
      <c r="A1399" s="3" t="s">
        <v>3183</v>
      </c>
      <c r="B1399" s="1" t="s">
        <v>3490</v>
      </c>
      <c r="C1399" s="1" t="s">
        <v>3491</v>
      </c>
      <c r="D1399" s="1" t="str">
        <f>"2320"</f>
        <v>2320</v>
      </c>
      <c r="E1399" s="1" t="str">
        <f>"007529289"</f>
        <v>007529289</v>
      </c>
      <c r="F1399" s="1" t="s">
        <v>373</v>
      </c>
      <c r="G1399" s="3" t="s">
        <v>15</v>
      </c>
      <c r="H1399" s="3" t="str">
        <f>"1"</f>
        <v>1</v>
      </c>
      <c r="I1399" s="4" t="str">
        <f>"4202"</f>
        <v>4202</v>
      </c>
      <c r="J1399" s="2">
        <v>45846</v>
      </c>
      <c r="K1399" s="1" t="s">
        <v>3492</v>
      </c>
    </row>
    <row r="1400" spans="1:11" x14ac:dyDescent="0.35">
      <c r="A1400" s="3" t="s">
        <v>3183</v>
      </c>
      <c r="B1400" s="1" t="s">
        <v>3509</v>
      </c>
      <c r="C1400" s="1" t="s">
        <v>3510</v>
      </c>
      <c r="D1400" s="1" t="str">
        <f>"5855"</f>
        <v>5855</v>
      </c>
      <c r="E1400" s="1" t="str">
        <f>"014652170"</f>
        <v>014652170</v>
      </c>
      <c r="F1400" s="1" t="s">
        <v>1931</v>
      </c>
      <c r="G1400" s="3" t="s">
        <v>15</v>
      </c>
      <c r="H1400" s="3" t="str">
        <f>"1"</f>
        <v>1</v>
      </c>
      <c r="I1400" s="4">
        <v>14092.33</v>
      </c>
      <c r="J1400" s="2">
        <v>45846</v>
      </c>
      <c r="K1400" s="1" t="s">
        <v>3511</v>
      </c>
    </row>
    <row r="1401" spans="1:11" x14ac:dyDescent="0.35">
      <c r="A1401" s="3" t="s">
        <v>3183</v>
      </c>
      <c r="B1401" s="1" t="s">
        <v>3509</v>
      </c>
      <c r="C1401" s="1" t="s">
        <v>3512</v>
      </c>
      <c r="D1401" s="1" t="str">
        <f>"5855"</f>
        <v>5855</v>
      </c>
      <c r="E1401" s="1" t="str">
        <f>"014652170"</f>
        <v>014652170</v>
      </c>
      <c r="F1401" s="1" t="s">
        <v>1931</v>
      </c>
      <c r="G1401" s="3" t="s">
        <v>15</v>
      </c>
      <c r="H1401" s="3" t="str">
        <f>"1"</f>
        <v>1</v>
      </c>
      <c r="I1401" s="4">
        <v>14092.33</v>
      </c>
      <c r="J1401" s="2">
        <v>45846</v>
      </c>
      <c r="K1401" s="1" t="s">
        <v>3511</v>
      </c>
    </row>
    <row r="1402" spans="1:11" x14ac:dyDescent="0.35">
      <c r="A1402" s="3" t="s">
        <v>3183</v>
      </c>
      <c r="B1402" s="1" t="s">
        <v>3256</v>
      </c>
      <c r="C1402" s="1" t="s">
        <v>3276</v>
      </c>
      <c r="D1402" s="1" t="str">
        <f>"3930"</f>
        <v>3930</v>
      </c>
      <c r="E1402" s="1" t="str">
        <f>"014555463"</f>
        <v>014555463</v>
      </c>
      <c r="F1402" s="1" t="s">
        <v>2176</v>
      </c>
      <c r="G1402" s="3" t="s">
        <v>15</v>
      </c>
      <c r="H1402" s="3" t="str">
        <f>"1"</f>
        <v>1</v>
      </c>
      <c r="I1402" s="4" t="str">
        <f>"21221"</f>
        <v>21221</v>
      </c>
      <c r="J1402" s="2">
        <v>45845</v>
      </c>
      <c r="K1402" s="1" t="s">
        <v>3277</v>
      </c>
    </row>
    <row r="1403" spans="1:11" x14ac:dyDescent="0.35">
      <c r="A1403" s="3" t="s">
        <v>3183</v>
      </c>
      <c r="B1403" s="1" t="s">
        <v>3334</v>
      </c>
      <c r="C1403" s="1" t="s">
        <v>3335</v>
      </c>
      <c r="D1403" s="1" t="str">
        <f>"1385"</f>
        <v>1385</v>
      </c>
      <c r="E1403" s="1" t="str">
        <f>"015936219"</f>
        <v>015936219</v>
      </c>
      <c r="F1403" s="1" t="s">
        <v>67</v>
      </c>
      <c r="G1403" s="3" t="s">
        <v>15</v>
      </c>
      <c r="H1403" s="3" t="str">
        <f>"1"</f>
        <v>1</v>
      </c>
      <c r="I1403" s="4" t="str">
        <f>"77000"</f>
        <v>77000</v>
      </c>
      <c r="J1403" s="2">
        <v>45841</v>
      </c>
      <c r="K1403" s="1" t="s">
        <v>3336</v>
      </c>
    </row>
    <row r="1404" spans="1:11" x14ac:dyDescent="0.35">
      <c r="A1404" s="3" t="s">
        <v>3183</v>
      </c>
      <c r="B1404" s="1" t="s">
        <v>3334</v>
      </c>
      <c r="C1404" s="1" t="s">
        <v>3337</v>
      </c>
      <c r="D1404" s="1" t="str">
        <f>"1385"</f>
        <v>1385</v>
      </c>
      <c r="E1404" s="1" t="str">
        <f>"015936219"</f>
        <v>015936219</v>
      </c>
      <c r="F1404" s="1" t="s">
        <v>67</v>
      </c>
      <c r="G1404" s="3" t="s">
        <v>15</v>
      </c>
      <c r="H1404" s="3" t="str">
        <f>"1"</f>
        <v>1</v>
      </c>
      <c r="I1404" s="4" t="str">
        <f>"77000"</f>
        <v>77000</v>
      </c>
      <c r="J1404" s="2">
        <v>45841</v>
      </c>
      <c r="K1404" s="1" t="s">
        <v>3336</v>
      </c>
    </row>
    <row r="1405" spans="1:11" x14ac:dyDescent="0.35">
      <c r="A1405" s="3" t="s">
        <v>3183</v>
      </c>
      <c r="B1405" s="1" t="s">
        <v>3256</v>
      </c>
      <c r="C1405" s="1" t="s">
        <v>3263</v>
      </c>
      <c r="D1405" s="1" t="str">
        <f>"2330"</f>
        <v>2330</v>
      </c>
      <c r="E1405" s="1" t="s">
        <v>70</v>
      </c>
      <c r="F1405" s="1" t="s">
        <v>71</v>
      </c>
      <c r="G1405" s="3" t="s">
        <v>15</v>
      </c>
      <c r="H1405" s="3" t="str">
        <f>"1"</f>
        <v>1</v>
      </c>
      <c r="I1405" s="4">
        <v>17565.96</v>
      </c>
      <c r="J1405" s="2">
        <v>45839</v>
      </c>
      <c r="K1405" s="1" t="s">
        <v>3264</v>
      </c>
    </row>
    <row r="1406" spans="1:11" x14ac:dyDescent="0.35">
      <c r="A1406" s="3" t="s">
        <v>3183</v>
      </c>
      <c r="B1406" s="1" t="s">
        <v>3256</v>
      </c>
      <c r="C1406" s="1" t="s">
        <v>3282</v>
      </c>
      <c r="D1406" s="1" t="str">
        <f>"6230"</f>
        <v>6230</v>
      </c>
      <c r="E1406" s="1" t="str">
        <f>"005426680"</f>
        <v>005426680</v>
      </c>
      <c r="F1406" s="1" t="s">
        <v>3283</v>
      </c>
      <c r="G1406" s="3" t="s">
        <v>58</v>
      </c>
      <c r="H1406" s="3" t="str">
        <f>"1"</f>
        <v>1</v>
      </c>
      <c r="I1406" s="4">
        <v>294.77999999999997</v>
      </c>
      <c r="J1406" s="2">
        <v>45839</v>
      </c>
      <c r="K1406" s="1" t="s">
        <v>3284</v>
      </c>
    </row>
    <row r="1407" spans="1:11" x14ac:dyDescent="0.35">
      <c r="A1407" s="3" t="s">
        <v>3183</v>
      </c>
      <c r="B1407" s="1" t="s">
        <v>3256</v>
      </c>
      <c r="C1407" s="1" t="s">
        <v>3285</v>
      </c>
      <c r="D1407" s="1" t="str">
        <f>"7025"</f>
        <v>7025</v>
      </c>
      <c r="E1407" s="1" t="s">
        <v>3286</v>
      </c>
      <c r="F1407" s="1" t="s">
        <v>3287</v>
      </c>
      <c r="G1407" s="3" t="s">
        <v>15</v>
      </c>
      <c r="H1407" s="3" t="str">
        <f>"1"</f>
        <v>1</v>
      </c>
      <c r="I1407" s="4" t="str">
        <f>"116"</f>
        <v>116</v>
      </c>
      <c r="J1407" s="2">
        <v>45839</v>
      </c>
      <c r="K1407" s="1" t="s">
        <v>3288</v>
      </c>
    </row>
    <row r="1408" spans="1:11" x14ac:dyDescent="0.35">
      <c r="A1408" s="3" t="s">
        <v>3183</v>
      </c>
      <c r="B1408" s="1" t="s">
        <v>3256</v>
      </c>
      <c r="C1408" s="1" t="s">
        <v>3289</v>
      </c>
      <c r="D1408" s="1" t="str">
        <f>"8135"</f>
        <v>8135</v>
      </c>
      <c r="E1408" s="1" t="s">
        <v>3290</v>
      </c>
      <c r="F1408" s="1" t="s">
        <v>3291</v>
      </c>
      <c r="G1408" s="3" t="s">
        <v>15</v>
      </c>
      <c r="H1408" s="3" t="str">
        <f>"2"</f>
        <v>2</v>
      </c>
      <c r="I1408" s="4">
        <v>388.16</v>
      </c>
      <c r="J1408" s="2">
        <v>45839</v>
      </c>
      <c r="K1408" s="1" t="s">
        <v>3292</v>
      </c>
    </row>
    <row r="1409" spans="1:11" x14ac:dyDescent="0.35">
      <c r="A1409" s="3" t="s">
        <v>3183</v>
      </c>
      <c r="B1409" s="1" t="s">
        <v>3256</v>
      </c>
      <c r="C1409" s="1" t="s">
        <v>3293</v>
      </c>
      <c r="D1409" s="1" t="str">
        <f>"8145"</f>
        <v>8145</v>
      </c>
      <c r="E1409" s="1" t="str">
        <f>"014654160"</f>
        <v>014654160</v>
      </c>
      <c r="F1409" s="1" t="s">
        <v>599</v>
      </c>
      <c r="G1409" s="3" t="s">
        <v>15</v>
      </c>
      <c r="H1409" s="3" t="str">
        <f>"1"</f>
        <v>1</v>
      </c>
      <c r="I1409" s="4">
        <v>20591.09</v>
      </c>
      <c r="J1409" s="2">
        <v>45839</v>
      </c>
      <c r="K1409" s="1" t="s">
        <v>3294</v>
      </c>
    </row>
    <row r="1410" spans="1:11" x14ac:dyDescent="0.35">
      <c r="A1410" s="3" t="s">
        <v>3513</v>
      </c>
      <c r="B1410" s="1" t="s">
        <v>3684</v>
      </c>
      <c r="C1410" s="1" t="s">
        <v>3701</v>
      </c>
      <c r="D1410" s="1" t="str">
        <f>"2540"</f>
        <v>2540</v>
      </c>
      <c r="E1410" s="1" t="str">
        <f>"009338645"</f>
        <v>009338645</v>
      </c>
      <c r="F1410" s="1" t="s">
        <v>3702</v>
      </c>
      <c r="G1410" s="3" t="s">
        <v>15</v>
      </c>
      <c r="H1410" s="3" t="str">
        <f>"31"</f>
        <v>31</v>
      </c>
      <c r="I1410" s="4">
        <v>880.66</v>
      </c>
      <c r="J1410" s="2">
        <v>45927</v>
      </c>
      <c r="K1410" s="1" t="s">
        <v>3703</v>
      </c>
    </row>
    <row r="1411" spans="1:11" x14ac:dyDescent="0.35">
      <c r="A1411" s="3" t="s">
        <v>3513</v>
      </c>
      <c r="B1411" s="1" t="s">
        <v>3637</v>
      </c>
      <c r="C1411" s="1" t="s">
        <v>3638</v>
      </c>
      <c r="D1411" s="1" t="str">
        <f>"2320"</f>
        <v>2320</v>
      </c>
      <c r="E1411" s="1" t="s">
        <v>1871</v>
      </c>
      <c r="F1411" s="1" t="s">
        <v>1872</v>
      </c>
      <c r="G1411" s="3" t="s">
        <v>15</v>
      </c>
      <c r="H1411" s="3" t="str">
        <f>"1"</f>
        <v>1</v>
      </c>
      <c r="I1411" s="4" t="str">
        <f>"6000"</f>
        <v>6000</v>
      </c>
      <c r="J1411" s="2">
        <v>45925</v>
      </c>
      <c r="K1411" s="1" t="s">
        <v>3639</v>
      </c>
    </row>
    <row r="1412" spans="1:11" x14ac:dyDescent="0.35">
      <c r="A1412" s="3" t="s">
        <v>3513</v>
      </c>
      <c r="B1412" s="1" t="s">
        <v>3637</v>
      </c>
      <c r="C1412" s="1" t="s">
        <v>3640</v>
      </c>
      <c r="D1412" s="1" t="str">
        <f>"2340"</f>
        <v>2340</v>
      </c>
      <c r="E1412" s="1" t="str">
        <f>"015746673"</f>
        <v>015746673</v>
      </c>
      <c r="F1412" s="1" t="s">
        <v>2167</v>
      </c>
      <c r="G1412" s="3" t="s">
        <v>15</v>
      </c>
      <c r="H1412" s="3" t="str">
        <f>"1"</f>
        <v>1</v>
      </c>
      <c r="I1412" s="4" t="str">
        <f>"11365"</f>
        <v>11365</v>
      </c>
      <c r="J1412" s="2">
        <v>45925</v>
      </c>
      <c r="K1412" s="1" t="s">
        <v>3641</v>
      </c>
    </row>
    <row r="1413" spans="1:11" x14ac:dyDescent="0.35">
      <c r="A1413" s="3" t="s">
        <v>3513</v>
      </c>
      <c r="B1413" s="1" t="s">
        <v>3637</v>
      </c>
      <c r="C1413" s="1" t="s">
        <v>3642</v>
      </c>
      <c r="D1413" s="1" t="str">
        <f>"5180"</f>
        <v>5180</v>
      </c>
      <c r="E1413" s="1" t="str">
        <f>"015595981"</f>
        <v>015595981</v>
      </c>
      <c r="F1413" s="1" t="s">
        <v>18</v>
      </c>
      <c r="G1413" s="3" t="s">
        <v>19</v>
      </c>
      <c r="H1413" s="3" t="str">
        <f>"2"</f>
        <v>2</v>
      </c>
      <c r="I1413" s="4" t="str">
        <f>"1774"</f>
        <v>1774</v>
      </c>
      <c r="J1413" s="2">
        <v>45923</v>
      </c>
      <c r="K1413" s="1" t="s">
        <v>3643</v>
      </c>
    </row>
    <row r="1414" spans="1:11" x14ac:dyDescent="0.35">
      <c r="A1414" s="3" t="s">
        <v>3513</v>
      </c>
      <c r="B1414" s="1" t="s">
        <v>3865</v>
      </c>
      <c r="C1414" s="1" t="s">
        <v>3866</v>
      </c>
      <c r="D1414" s="1" t="str">
        <f>"1005"</f>
        <v>1005</v>
      </c>
      <c r="E1414" s="1" t="s">
        <v>3378</v>
      </c>
      <c r="F1414" s="1" t="s">
        <v>3379</v>
      </c>
      <c r="G1414" s="3" t="s">
        <v>15</v>
      </c>
      <c r="H1414" s="3" t="str">
        <f>"7"</f>
        <v>7</v>
      </c>
      <c r="I1414" s="4" t="str">
        <f>"1110"</f>
        <v>1110</v>
      </c>
      <c r="J1414" s="2">
        <v>45923</v>
      </c>
      <c r="K1414" s="1" t="s">
        <v>3867</v>
      </c>
    </row>
    <row r="1415" spans="1:11" x14ac:dyDescent="0.35">
      <c r="A1415" s="3" t="s">
        <v>3513</v>
      </c>
      <c r="B1415" s="1" t="s">
        <v>3865</v>
      </c>
      <c r="C1415" s="1" t="s">
        <v>3868</v>
      </c>
      <c r="D1415" s="1" t="str">
        <f>"2330"</f>
        <v>2330</v>
      </c>
      <c r="E1415" s="1" t="str">
        <f>"011087367"</f>
        <v>011087367</v>
      </c>
      <c r="F1415" s="1" t="s">
        <v>1698</v>
      </c>
      <c r="G1415" s="3" t="s">
        <v>15</v>
      </c>
      <c r="H1415" s="3" t="str">
        <f>"1"</f>
        <v>1</v>
      </c>
      <c r="I1415" s="4" t="str">
        <f>"22000"</f>
        <v>22000</v>
      </c>
      <c r="J1415" s="2">
        <v>45923</v>
      </c>
      <c r="K1415" s="1" t="s">
        <v>3869</v>
      </c>
    </row>
    <row r="1416" spans="1:11" x14ac:dyDescent="0.35">
      <c r="A1416" s="3" t="s">
        <v>3513</v>
      </c>
      <c r="B1416" s="1" t="s">
        <v>3862</v>
      </c>
      <c r="C1416" s="1" t="s">
        <v>3863</v>
      </c>
      <c r="D1416" s="1" t="str">
        <f>"6545"</f>
        <v>6545</v>
      </c>
      <c r="E1416" s="1" t="str">
        <f>"016899365"</f>
        <v>016899365</v>
      </c>
      <c r="F1416" s="1" t="s">
        <v>3594</v>
      </c>
      <c r="G1416" s="3" t="s">
        <v>19</v>
      </c>
      <c r="H1416" s="3" t="str">
        <f>"10"</f>
        <v>10</v>
      </c>
      <c r="I1416" s="4">
        <v>4900.5200000000004</v>
      </c>
      <c r="J1416" s="2">
        <v>45922</v>
      </c>
      <c r="K1416" s="1" t="s">
        <v>3864</v>
      </c>
    </row>
    <row r="1417" spans="1:11" x14ac:dyDescent="0.35">
      <c r="A1417" s="3" t="s">
        <v>3513</v>
      </c>
      <c r="B1417" s="1" t="s">
        <v>3514</v>
      </c>
      <c r="C1417" s="1" t="s">
        <v>3537</v>
      </c>
      <c r="D1417" s="1" t="str">
        <f>"3750"</f>
        <v>3750</v>
      </c>
      <c r="E1417" s="1" t="s">
        <v>392</v>
      </c>
      <c r="F1417" s="1" t="s">
        <v>393</v>
      </c>
      <c r="G1417" s="3" t="s">
        <v>15</v>
      </c>
      <c r="H1417" s="3" t="str">
        <f>"1"</f>
        <v>1</v>
      </c>
      <c r="I1417" s="4" t="str">
        <f>"3099"</f>
        <v>3099</v>
      </c>
      <c r="J1417" s="2">
        <v>45918</v>
      </c>
      <c r="K1417" s="1" t="s">
        <v>3538</v>
      </c>
    </row>
    <row r="1418" spans="1:11" x14ac:dyDescent="0.35">
      <c r="A1418" s="3" t="s">
        <v>3513</v>
      </c>
      <c r="B1418" s="1" t="s">
        <v>3770</v>
      </c>
      <c r="C1418" s="1" t="s">
        <v>3771</v>
      </c>
      <c r="D1418" s="1" t="str">
        <f>"3820"</f>
        <v>3820</v>
      </c>
      <c r="E1418" s="1" t="str">
        <f>"015818263"</f>
        <v>015818263</v>
      </c>
      <c r="F1418" s="1" t="s">
        <v>3772</v>
      </c>
      <c r="G1418" s="3" t="s">
        <v>15</v>
      </c>
      <c r="H1418" s="3" t="str">
        <f>"2"</f>
        <v>2</v>
      </c>
      <c r="I1418" s="4" t="str">
        <f>"4470"</f>
        <v>4470</v>
      </c>
      <c r="J1418" s="2">
        <v>45918</v>
      </c>
      <c r="K1418" s="1" t="s">
        <v>3773</v>
      </c>
    </row>
    <row r="1419" spans="1:11" x14ac:dyDescent="0.35">
      <c r="A1419" s="3" t="s">
        <v>3513</v>
      </c>
      <c r="B1419" s="1" t="s">
        <v>3514</v>
      </c>
      <c r="C1419" s="1" t="s">
        <v>3593</v>
      </c>
      <c r="D1419" s="1" t="str">
        <f>"6545"</f>
        <v>6545</v>
      </c>
      <c r="E1419" s="1" t="str">
        <f>"016899365"</f>
        <v>016899365</v>
      </c>
      <c r="F1419" s="1" t="s">
        <v>3594</v>
      </c>
      <c r="G1419" s="3" t="s">
        <v>19</v>
      </c>
      <c r="H1419" s="3" t="str">
        <f>"7"</f>
        <v>7</v>
      </c>
      <c r="I1419" s="4">
        <v>4900.5200000000004</v>
      </c>
      <c r="J1419" s="2">
        <v>45911</v>
      </c>
      <c r="K1419" s="1" t="s">
        <v>3595</v>
      </c>
    </row>
    <row r="1420" spans="1:11" x14ac:dyDescent="0.35">
      <c r="A1420" s="3" t="s">
        <v>3513</v>
      </c>
      <c r="B1420" s="1" t="s">
        <v>3514</v>
      </c>
      <c r="C1420" s="1" t="s">
        <v>3602</v>
      </c>
      <c r="D1420" s="1" t="str">
        <f>"7125"</f>
        <v>7125</v>
      </c>
      <c r="E1420" s="1" t="s">
        <v>3603</v>
      </c>
      <c r="F1420" s="1" t="s">
        <v>3604</v>
      </c>
      <c r="G1420" s="3" t="s">
        <v>15</v>
      </c>
      <c r="H1420" s="3" t="str">
        <f>"2"</f>
        <v>2</v>
      </c>
      <c r="I1420" s="4" t="str">
        <f>"200"</f>
        <v>200</v>
      </c>
      <c r="J1420" s="2">
        <v>45911</v>
      </c>
      <c r="K1420" s="1" t="s">
        <v>3605</v>
      </c>
    </row>
    <row r="1421" spans="1:11" x14ac:dyDescent="0.35">
      <c r="A1421" s="3" t="s">
        <v>3513</v>
      </c>
      <c r="B1421" s="1" t="s">
        <v>3514</v>
      </c>
      <c r="C1421" s="1" t="s">
        <v>3515</v>
      </c>
      <c r="D1421" s="1" t="str">
        <f>"1005"</f>
        <v>1005</v>
      </c>
      <c r="E1421" s="1" t="str">
        <f>"015267354"</f>
        <v>015267354</v>
      </c>
      <c r="F1421" s="1" t="s">
        <v>139</v>
      </c>
      <c r="G1421" s="3" t="s">
        <v>19</v>
      </c>
      <c r="H1421" s="3" t="str">
        <f>"10"</f>
        <v>10</v>
      </c>
      <c r="I1421" s="4">
        <v>124.33</v>
      </c>
      <c r="J1421" s="2">
        <v>45910</v>
      </c>
      <c r="K1421" s="1" t="s">
        <v>3516</v>
      </c>
    </row>
    <row r="1422" spans="1:11" x14ac:dyDescent="0.35">
      <c r="A1422" s="3" t="s">
        <v>3513</v>
      </c>
      <c r="B1422" s="1" t="s">
        <v>3514</v>
      </c>
      <c r="C1422" s="1" t="s">
        <v>3521</v>
      </c>
      <c r="D1422" s="1" t="str">
        <f>"2310"</f>
        <v>2310</v>
      </c>
      <c r="E1422" s="1" t="str">
        <f>"016231545"</f>
        <v>016231545</v>
      </c>
      <c r="F1422" s="1" t="s">
        <v>3156</v>
      </c>
      <c r="G1422" s="3" t="s">
        <v>15</v>
      </c>
      <c r="H1422" s="3" t="str">
        <f>"1"</f>
        <v>1</v>
      </c>
      <c r="I1422" s="4" t="str">
        <f>"32000"</f>
        <v>32000</v>
      </c>
      <c r="J1422" s="2">
        <v>45910</v>
      </c>
      <c r="K1422" s="1" t="s">
        <v>3522</v>
      </c>
    </row>
    <row r="1423" spans="1:11" x14ac:dyDescent="0.35">
      <c r="A1423" s="3" t="s">
        <v>3513</v>
      </c>
      <c r="B1423" s="1" t="s">
        <v>3514</v>
      </c>
      <c r="C1423" s="1" t="s">
        <v>3523</v>
      </c>
      <c r="D1423" s="1" t="str">
        <f>"2310"</f>
        <v>2310</v>
      </c>
      <c r="E1423" s="1" t="str">
        <f>"016544105"</f>
        <v>016544105</v>
      </c>
      <c r="F1423" s="1" t="s">
        <v>3156</v>
      </c>
      <c r="G1423" s="3" t="s">
        <v>15</v>
      </c>
      <c r="H1423" s="3" t="str">
        <f>"1"</f>
        <v>1</v>
      </c>
      <c r="I1423" s="4">
        <v>31905.14</v>
      </c>
      <c r="J1423" s="2">
        <v>45910</v>
      </c>
      <c r="K1423" s="1" t="s">
        <v>3524</v>
      </c>
    </row>
    <row r="1424" spans="1:11" x14ac:dyDescent="0.35">
      <c r="A1424" s="3" t="s">
        <v>3513</v>
      </c>
      <c r="B1424" s="1" t="s">
        <v>3514</v>
      </c>
      <c r="C1424" s="1" t="s">
        <v>3527</v>
      </c>
      <c r="D1424" s="1" t="str">
        <f>"2340"</f>
        <v>2340</v>
      </c>
      <c r="E1424" s="1" t="s">
        <v>647</v>
      </c>
      <c r="F1424" s="1" t="s">
        <v>648</v>
      </c>
      <c r="G1424" s="3" t="s">
        <v>15</v>
      </c>
      <c r="H1424" s="3" t="str">
        <f>"1"</f>
        <v>1</v>
      </c>
      <c r="I1424" s="4" t="str">
        <f>"14918"</f>
        <v>14918</v>
      </c>
      <c r="J1424" s="2">
        <v>45910</v>
      </c>
      <c r="K1424" s="1" t="s">
        <v>3528</v>
      </c>
    </row>
    <row r="1425" spans="1:11" x14ac:dyDescent="0.35">
      <c r="A1425" s="3" t="s">
        <v>3513</v>
      </c>
      <c r="B1425" s="1" t="s">
        <v>3514</v>
      </c>
      <c r="C1425" s="1" t="s">
        <v>3529</v>
      </c>
      <c r="D1425" s="1" t="str">
        <f>"2340"</f>
        <v>2340</v>
      </c>
      <c r="E1425" s="1" t="s">
        <v>694</v>
      </c>
      <c r="F1425" s="1" t="s">
        <v>695</v>
      </c>
      <c r="G1425" s="3" t="s">
        <v>15</v>
      </c>
      <c r="H1425" s="3" t="str">
        <f>"1"</f>
        <v>1</v>
      </c>
      <c r="I1425" s="4" t="str">
        <f>"2000"</f>
        <v>2000</v>
      </c>
      <c r="J1425" s="2">
        <v>45910</v>
      </c>
      <c r="K1425" s="1" t="s">
        <v>3530</v>
      </c>
    </row>
    <row r="1426" spans="1:11" x14ac:dyDescent="0.35">
      <c r="A1426" s="3" t="s">
        <v>3513</v>
      </c>
      <c r="B1426" s="1" t="s">
        <v>3514</v>
      </c>
      <c r="C1426" s="1" t="s">
        <v>3560</v>
      </c>
      <c r="D1426" s="1" t="str">
        <f>"5120"</f>
        <v>5120</v>
      </c>
      <c r="E1426" s="1" t="str">
        <f>"014298147"</f>
        <v>014298147</v>
      </c>
      <c r="F1426" s="1" t="s">
        <v>3561</v>
      </c>
      <c r="G1426" s="3" t="s">
        <v>15</v>
      </c>
      <c r="H1426" s="3" t="str">
        <f>"2"</f>
        <v>2</v>
      </c>
      <c r="I1426" s="4">
        <v>85.74</v>
      </c>
      <c r="J1426" s="2">
        <v>45910</v>
      </c>
      <c r="K1426" s="1" t="s">
        <v>3562</v>
      </c>
    </row>
    <row r="1427" spans="1:11" x14ac:dyDescent="0.35">
      <c r="A1427" s="3" t="s">
        <v>3513</v>
      </c>
      <c r="B1427" s="1" t="s">
        <v>3514</v>
      </c>
      <c r="C1427" s="1" t="s">
        <v>3609</v>
      </c>
      <c r="D1427" s="1" t="str">
        <f>"7830"</f>
        <v>7830</v>
      </c>
      <c r="E1427" s="1" t="s">
        <v>182</v>
      </c>
      <c r="F1427" s="1" t="s">
        <v>183</v>
      </c>
      <c r="G1427" s="3" t="s">
        <v>15</v>
      </c>
      <c r="H1427" s="3" t="str">
        <f>"1"</f>
        <v>1</v>
      </c>
      <c r="I1427" s="4">
        <v>3608.68</v>
      </c>
      <c r="J1427" s="2">
        <v>45910</v>
      </c>
      <c r="K1427" s="1" t="s">
        <v>3610</v>
      </c>
    </row>
    <row r="1428" spans="1:11" x14ac:dyDescent="0.35">
      <c r="A1428" s="3" t="s">
        <v>3513</v>
      </c>
      <c r="B1428" s="1" t="s">
        <v>3514</v>
      </c>
      <c r="C1428" s="1" t="s">
        <v>3622</v>
      </c>
      <c r="D1428" s="1" t="str">
        <f>"8415"</f>
        <v>8415</v>
      </c>
      <c r="E1428" s="1" t="str">
        <f>"015735060"</f>
        <v>015735060</v>
      </c>
      <c r="F1428" s="1" t="s">
        <v>3623</v>
      </c>
      <c r="G1428" s="3" t="s">
        <v>15</v>
      </c>
      <c r="H1428" s="3" t="str">
        <f>"3"</f>
        <v>3</v>
      </c>
      <c r="I1428" s="4">
        <v>215.93</v>
      </c>
      <c r="J1428" s="2">
        <v>45910</v>
      </c>
      <c r="K1428" s="1" t="s">
        <v>3624</v>
      </c>
    </row>
    <row r="1429" spans="1:11" x14ac:dyDescent="0.35">
      <c r="A1429" s="3" t="s">
        <v>3513</v>
      </c>
      <c r="B1429" s="1" t="s">
        <v>3514</v>
      </c>
      <c r="C1429" s="1" t="s">
        <v>3625</v>
      </c>
      <c r="D1429" s="1" t="str">
        <f>"8415"</f>
        <v>8415</v>
      </c>
      <c r="E1429" s="1" t="str">
        <f>"015735273"</f>
        <v>015735273</v>
      </c>
      <c r="F1429" s="1" t="s">
        <v>3623</v>
      </c>
      <c r="G1429" s="3" t="s">
        <v>15</v>
      </c>
      <c r="H1429" s="3" t="str">
        <f>"2"</f>
        <v>2</v>
      </c>
      <c r="I1429" s="4">
        <v>215.93</v>
      </c>
      <c r="J1429" s="2">
        <v>45910</v>
      </c>
      <c r="K1429" s="1" t="s">
        <v>3626</v>
      </c>
    </row>
    <row r="1430" spans="1:11" x14ac:dyDescent="0.35">
      <c r="A1430" s="3" t="s">
        <v>3513</v>
      </c>
      <c r="B1430" s="1" t="s">
        <v>3514</v>
      </c>
      <c r="C1430" s="1" t="s">
        <v>3627</v>
      </c>
      <c r="D1430" s="1" t="str">
        <f>"8415"</f>
        <v>8415</v>
      </c>
      <c r="E1430" s="1" t="str">
        <f>"015735296"</f>
        <v>015735296</v>
      </c>
      <c r="F1430" s="1" t="s">
        <v>3623</v>
      </c>
      <c r="G1430" s="3" t="s">
        <v>15</v>
      </c>
      <c r="H1430" s="3" t="str">
        <f>"3"</f>
        <v>3</v>
      </c>
      <c r="I1430" s="4">
        <v>215.93</v>
      </c>
      <c r="J1430" s="2">
        <v>45910</v>
      </c>
      <c r="K1430" s="1" t="s">
        <v>3628</v>
      </c>
    </row>
    <row r="1431" spans="1:11" x14ac:dyDescent="0.35">
      <c r="A1431" s="3" t="s">
        <v>3513</v>
      </c>
      <c r="B1431" s="1" t="s">
        <v>3514</v>
      </c>
      <c r="C1431" s="1" t="s">
        <v>3629</v>
      </c>
      <c r="D1431" s="1" t="str">
        <f>"8415"</f>
        <v>8415</v>
      </c>
      <c r="E1431" s="1" t="str">
        <f>"002687868"</f>
        <v>002687868</v>
      </c>
      <c r="F1431" s="1" t="s">
        <v>1664</v>
      </c>
      <c r="G1431" s="3" t="s">
        <v>847</v>
      </c>
      <c r="H1431" s="3" t="str">
        <f>"6"</f>
        <v>6</v>
      </c>
      <c r="I1431" s="4">
        <v>36.78</v>
      </c>
      <c r="J1431" s="2">
        <v>45910</v>
      </c>
      <c r="K1431" s="1" t="s">
        <v>3630</v>
      </c>
    </row>
    <row r="1432" spans="1:11" x14ac:dyDescent="0.35">
      <c r="A1432" s="3" t="s">
        <v>3513</v>
      </c>
      <c r="B1432" s="1" t="s">
        <v>3684</v>
      </c>
      <c r="C1432" s="1" t="s">
        <v>3685</v>
      </c>
      <c r="D1432" s="1" t="str">
        <f>"2320"</f>
        <v>2320</v>
      </c>
      <c r="E1432" s="1" t="str">
        <f>"015079680"</f>
        <v>015079680</v>
      </c>
      <c r="F1432" s="1" t="s">
        <v>114</v>
      </c>
      <c r="G1432" s="3" t="s">
        <v>15</v>
      </c>
      <c r="H1432" s="3" t="str">
        <f>"1"</f>
        <v>1</v>
      </c>
      <c r="I1432" s="4" t="str">
        <f>"28829"</f>
        <v>28829</v>
      </c>
      <c r="J1432" s="2">
        <v>45910</v>
      </c>
      <c r="K1432" s="1" t="s">
        <v>3686</v>
      </c>
    </row>
    <row r="1433" spans="1:11" x14ac:dyDescent="0.35">
      <c r="A1433" s="3" t="s">
        <v>3513</v>
      </c>
      <c r="B1433" s="1" t="s">
        <v>3793</v>
      </c>
      <c r="C1433" s="1" t="s">
        <v>3794</v>
      </c>
      <c r="D1433" s="1" t="str">
        <f>"5180"</f>
        <v>5180</v>
      </c>
      <c r="E1433" s="1" t="str">
        <f>"009031049"</f>
        <v>009031049</v>
      </c>
      <c r="F1433" s="1" t="s">
        <v>3795</v>
      </c>
      <c r="G1433" s="3" t="s">
        <v>19</v>
      </c>
      <c r="H1433" s="3" t="str">
        <f>"10"</f>
        <v>10</v>
      </c>
      <c r="I1433" s="4" t="str">
        <f>"1678"</f>
        <v>1678</v>
      </c>
      <c r="J1433" s="2">
        <v>45910</v>
      </c>
      <c r="K1433" s="1" t="s">
        <v>3796</v>
      </c>
    </row>
    <row r="1434" spans="1:11" x14ac:dyDescent="0.35">
      <c r="A1434" s="3" t="s">
        <v>3513</v>
      </c>
      <c r="B1434" s="1" t="s">
        <v>3684</v>
      </c>
      <c r="C1434" s="1" t="s">
        <v>3692</v>
      </c>
      <c r="D1434" s="1" t="str">
        <f>"2530"</f>
        <v>2530</v>
      </c>
      <c r="E1434" s="1" t="str">
        <f>"014912681"</f>
        <v>014912681</v>
      </c>
      <c r="F1434" s="1" t="s">
        <v>3693</v>
      </c>
      <c r="G1434" s="3" t="s">
        <v>15</v>
      </c>
      <c r="H1434" s="3" t="str">
        <f>"1"</f>
        <v>1</v>
      </c>
      <c r="I1434" s="4">
        <v>549.11</v>
      </c>
      <c r="J1434" s="2">
        <v>45909</v>
      </c>
      <c r="K1434" s="1" t="s">
        <v>3694</v>
      </c>
    </row>
    <row r="1435" spans="1:11" x14ac:dyDescent="0.35">
      <c r="A1435" s="3" t="s">
        <v>3513</v>
      </c>
      <c r="B1435" s="1" t="s">
        <v>3684</v>
      </c>
      <c r="C1435" s="1" t="s">
        <v>3704</v>
      </c>
      <c r="D1435" s="1" t="str">
        <f>"2540"</f>
        <v>2540</v>
      </c>
      <c r="E1435" s="1" t="str">
        <f>"009338645"</f>
        <v>009338645</v>
      </c>
      <c r="F1435" s="1" t="s">
        <v>3702</v>
      </c>
      <c r="G1435" s="3" t="s">
        <v>15</v>
      </c>
      <c r="H1435" s="3" t="str">
        <f>"1"</f>
        <v>1</v>
      </c>
      <c r="I1435" s="4">
        <v>880.66</v>
      </c>
      <c r="J1435" s="2">
        <v>45909</v>
      </c>
      <c r="K1435" s="1" t="s">
        <v>3705</v>
      </c>
    </row>
    <row r="1436" spans="1:11" x14ac:dyDescent="0.35">
      <c r="A1436" s="3" t="s">
        <v>3513</v>
      </c>
      <c r="B1436" s="1" t="s">
        <v>3684</v>
      </c>
      <c r="C1436" s="1" t="s">
        <v>3729</v>
      </c>
      <c r="D1436" s="1" t="str">
        <f>"4820"</f>
        <v>4820</v>
      </c>
      <c r="E1436" s="1" t="str">
        <f>"006333523"</f>
        <v>006333523</v>
      </c>
      <c r="F1436" s="1" t="s">
        <v>3730</v>
      </c>
      <c r="G1436" s="3" t="s">
        <v>15</v>
      </c>
      <c r="H1436" s="3" t="str">
        <f>"1"</f>
        <v>1</v>
      </c>
      <c r="I1436" s="4">
        <v>27.82</v>
      </c>
      <c r="J1436" s="2">
        <v>45909</v>
      </c>
      <c r="K1436" s="1" t="s">
        <v>3731</v>
      </c>
    </row>
    <row r="1437" spans="1:11" x14ac:dyDescent="0.35">
      <c r="A1437" s="3" t="s">
        <v>3513</v>
      </c>
      <c r="B1437" s="1" t="s">
        <v>3684</v>
      </c>
      <c r="C1437" s="1" t="s">
        <v>3761</v>
      </c>
      <c r="D1437" s="1" t="str">
        <f>"6350"</f>
        <v>6350</v>
      </c>
      <c r="E1437" s="1" t="str">
        <f>"010892987"</f>
        <v>010892987</v>
      </c>
      <c r="F1437" s="1" t="s">
        <v>3762</v>
      </c>
      <c r="G1437" s="3" t="s">
        <v>15</v>
      </c>
      <c r="H1437" s="3" t="str">
        <f>"1"</f>
        <v>1</v>
      </c>
      <c r="I1437" s="4">
        <v>44.39</v>
      </c>
      <c r="J1437" s="2">
        <v>45909</v>
      </c>
      <c r="K1437" s="1" t="s">
        <v>3763</v>
      </c>
    </row>
    <row r="1438" spans="1:11" x14ac:dyDescent="0.35">
      <c r="A1438" s="3" t="s">
        <v>3513</v>
      </c>
      <c r="B1438" s="1" t="s">
        <v>3637</v>
      </c>
      <c r="C1438" s="1" t="s">
        <v>3644</v>
      </c>
      <c r="D1438" s="1" t="str">
        <f>"8140"</f>
        <v>8140</v>
      </c>
      <c r="E1438" s="1" t="str">
        <f>"009601699"</f>
        <v>009601699</v>
      </c>
      <c r="F1438" s="1" t="s">
        <v>1599</v>
      </c>
      <c r="G1438" s="3" t="s">
        <v>15</v>
      </c>
      <c r="H1438" s="3" t="str">
        <f>"120"</f>
        <v>120</v>
      </c>
      <c r="I1438" s="4">
        <v>11.1</v>
      </c>
      <c r="J1438" s="2">
        <v>45904</v>
      </c>
      <c r="K1438" s="1" t="s">
        <v>3645</v>
      </c>
    </row>
    <row r="1439" spans="1:11" x14ac:dyDescent="0.35">
      <c r="A1439" s="3" t="s">
        <v>3513</v>
      </c>
      <c r="B1439" s="1" t="s">
        <v>3637</v>
      </c>
      <c r="C1439" s="1" t="s">
        <v>3646</v>
      </c>
      <c r="D1439" s="1" t="str">
        <f>"8140"</f>
        <v>8140</v>
      </c>
      <c r="E1439" s="1" t="str">
        <f>"009601699"</f>
        <v>009601699</v>
      </c>
      <c r="F1439" s="1" t="s">
        <v>1599</v>
      </c>
      <c r="G1439" s="3" t="s">
        <v>15</v>
      </c>
      <c r="H1439" s="3" t="str">
        <f>"120"</f>
        <v>120</v>
      </c>
      <c r="I1439" s="4">
        <v>11.1</v>
      </c>
      <c r="J1439" s="2">
        <v>45904</v>
      </c>
      <c r="K1439" s="1" t="s">
        <v>3645</v>
      </c>
    </row>
    <row r="1440" spans="1:11" x14ac:dyDescent="0.35">
      <c r="A1440" s="3" t="s">
        <v>3513</v>
      </c>
      <c r="B1440" s="1" t="s">
        <v>3801</v>
      </c>
      <c r="C1440" s="1" t="s">
        <v>3814</v>
      </c>
      <c r="D1440" s="1" t="str">
        <f>"5920"</f>
        <v>5920</v>
      </c>
      <c r="E1440" s="1" t="s">
        <v>3815</v>
      </c>
      <c r="F1440" s="1" t="s">
        <v>3816</v>
      </c>
      <c r="G1440" s="3" t="s">
        <v>15</v>
      </c>
      <c r="H1440" s="3" t="str">
        <f>"2"</f>
        <v>2</v>
      </c>
      <c r="I1440" s="4">
        <v>241.89</v>
      </c>
      <c r="J1440" s="2">
        <v>45904</v>
      </c>
      <c r="K1440" s="1" t="s">
        <v>3817</v>
      </c>
    </row>
    <row r="1441" spans="1:11" x14ac:dyDescent="0.35">
      <c r="A1441" s="3" t="s">
        <v>3513</v>
      </c>
      <c r="B1441" s="1" t="s">
        <v>3801</v>
      </c>
      <c r="C1441" s="1" t="s">
        <v>3835</v>
      </c>
      <c r="D1441" s="1" t="str">
        <f>"7035"</f>
        <v>7035</v>
      </c>
      <c r="E1441" s="1" t="s">
        <v>3836</v>
      </c>
      <c r="F1441" s="1" t="s">
        <v>3837</v>
      </c>
      <c r="G1441" s="3" t="s">
        <v>15</v>
      </c>
      <c r="H1441" s="3" t="str">
        <f>"5"</f>
        <v>5</v>
      </c>
      <c r="I1441" s="4" t="str">
        <f>"100"</f>
        <v>100</v>
      </c>
      <c r="J1441" s="2">
        <v>45904</v>
      </c>
      <c r="K1441" s="1" t="s">
        <v>3838</v>
      </c>
    </row>
    <row r="1442" spans="1:11" x14ac:dyDescent="0.35">
      <c r="A1442" s="3" t="s">
        <v>3513</v>
      </c>
      <c r="B1442" s="1" t="s">
        <v>3674</v>
      </c>
      <c r="C1442" s="1" t="s">
        <v>3675</v>
      </c>
      <c r="D1442" s="1" t="str">
        <f>"3930"</f>
        <v>3930</v>
      </c>
      <c r="E1442" s="1" t="s">
        <v>150</v>
      </c>
      <c r="F1442" s="1" t="s">
        <v>151</v>
      </c>
      <c r="G1442" s="3" t="s">
        <v>15</v>
      </c>
      <c r="H1442" s="3" t="str">
        <f>"1"</f>
        <v>1</v>
      </c>
      <c r="I1442" s="4" t="str">
        <f>"5000"</f>
        <v>5000</v>
      </c>
      <c r="J1442" s="2">
        <v>45902</v>
      </c>
      <c r="K1442" s="1" t="s">
        <v>3676</v>
      </c>
    </row>
    <row r="1443" spans="1:11" x14ac:dyDescent="0.35">
      <c r="A1443" s="3" t="s">
        <v>3513</v>
      </c>
      <c r="B1443" s="1" t="s">
        <v>3674</v>
      </c>
      <c r="C1443" s="1" t="s">
        <v>3677</v>
      </c>
      <c r="D1443" s="1" t="str">
        <f>"6115"</f>
        <v>6115</v>
      </c>
      <c r="E1443" s="1" t="s">
        <v>174</v>
      </c>
      <c r="F1443" s="1" t="s">
        <v>175</v>
      </c>
      <c r="G1443" s="3" t="s">
        <v>15</v>
      </c>
      <c r="H1443" s="3" t="str">
        <f>"1"</f>
        <v>1</v>
      </c>
      <c r="I1443" s="4" t="str">
        <f>"900"</f>
        <v>900</v>
      </c>
      <c r="J1443" s="2">
        <v>45902</v>
      </c>
      <c r="K1443" s="1" t="s">
        <v>3678</v>
      </c>
    </row>
    <row r="1444" spans="1:11" x14ac:dyDescent="0.35">
      <c r="A1444" s="3" t="s">
        <v>3513</v>
      </c>
      <c r="B1444" s="1" t="s">
        <v>3674</v>
      </c>
      <c r="C1444" s="1" t="s">
        <v>3679</v>
      </c>
      <c r="D1444" s="1" t="str">
        <f>"6115"</f>
        <v>6115</v>
      </c>
      <c r="E1444" s="1" t="s">
        <v>174</v>
      </c>
      <c r="F1444" s="1" t="s">
        <v>175</v>
      </c>
      <c r="G1444" s="3" t="s">
        <v>15</v>
      </c>
      <c r="H1444" s="3" t="str">
        <f>"1"</f>
        <v>1</v>
      </c>
      <c r="I1444" s="4" t="str">
        <f>"900"</f>
        <v>900</v>
      </c>
      <c r="J1444" s="2">
        <v>45902</v>
      </c>
      <c r="K1444" s="1" t="s">
        <v>3680</v>
      </c>
    </row>
    <row r="1445" spans="1:11" x14ac:dyDescent="0.35">
      <c r="A1445" s="3" t="s">
        <v>3513</v>
      </c>
      <c r="B1445" s="1" t="s">
        <v>3674</v>
      </c>
      <c r="C1445" s="1" t="s">
        <v>3681</v>
      </c>
      <c r="D1445" s="1" t="str">
        <f>"6115"</f>
        <v>6115</v>
      </c>
      <c r="E1445" s="1" t="s">
        <v>174</v>
      </c>
      <c r="F1445" s="1" t="s">
        <v>175</v>
      </c>
      <c r="G1445" s="3" t="s">
        <v>15</v>
      </c>
      <c r="H1445" s="3" t="str">
        <f>"1"</f>
        <v>1</v>
      </c>
      <c r="I1445" s="4" t="str">
        <f>"812"</f>
        <v>812</v>
      </c>
      <c r="J1445" s="2">
        <v>45902</v>
      </c>
      <c r="K1445" s="1" t="s">
        <v>3682</v>
      </c>
    </row>
    <row r="1446" spans="1:11" x14ac:dyDescent="0.35">
      <c r="A1446" s="3" t="s">
        <v>3513</v>
      </c>
      <c r="B1446" s="1" t="s">
        <v>3674</v>
      </c>
      <c r="C1446" s="1" t="s">
        <v>3683</v>
      </c>
      <c r="D1446" s="1" t="str">
        <f>"6115"</f>
        <v>6115</v>
      </c>
      <c r="E1446" s="1" t="s">
        <v>174</v>
      </c>
      <c r="F1446" s="1" t="s">
        <v>175</v>
      </c>
      <c r="G1446" s="3" t="s">
        <v>15</v>
      </c>
      <c r="H1446" s="3" t="str">
        <f>"1"</f>
        <v>1</v>
      </c>
      <c r="I1446" s="4" t="str">
        <f>"899"</f>
        <v>899</v>
      </c>
      <c r="J1446" s="2">
        <v>45902</v>
      </c>
      <c r="K1446" s="1" t="s">
        <v>3678</v>
      </c>
    </row>
    <row r="1447" spans="1:11" x14ac:dyDescent="0.35">
      <c r="A1447" s="3" t="s">
        <v>3513</v>
      </c>
      <c r="B1447" s="1" t="s">
        <v>3790</v>
      </c>
      <c r="C1447" s="1" t="s">
        <v>3791</v>
      </c>
      <c r="D1447" s="1" t="str">
        <f>"2320"</f>
        <v>2320</v>
      </c>
      <c r="E1447" s="1" t="s">
        <v>3361</v>
      </c>
      <c r="F1447" s="1" t="s">
        <v>3362</v>
      </c>
      <c r="G1447" s="3" t="s">
        <v>15</v>
      </c>
      <c r="H1447" s="3" t="str">
        <f>"1"</f>
        <v>1</v>
      </c>
      <c r="I1447" s="4" t="str">
        <f>"876918"</f>
        <v>876918</v>
      </c>
      <c r="J1447" s="2">
        <v>45902</v>
      </c>
      <c r="K1447" s="1" t="s">
        <v>3792</v>
      </c>
    </row>
    <row r="1448" spans="1:11" x14ac:dyDescent="0.35">
      <c r="A1448" s="3" t="s">
        <v>3513</v>
      </c>
      <c r="B1448" s="1" t="s">
        <v>3865</v>
      </c>
      <c r="C1448" s="1" t="s">
        <v>3872</v>
      </c>
      <c r="D1448" s="1" t="str">
        <f>"2340"</f>
        <v>2340</v>
      </c>
      <c r="E1448" s="1" t="s">
        <v>439</v>
      </c>
      <c r="F1448" s="1" t="s">
        <v>440</v>
      </c>
      <c r="G1448" s="3" t="s">
        <v>15</v>
      </c>
      <c r="H1448" s="3" t="str">
        <f>"1"</f>
        <v>1</v>
      </c>
      <c r="I1448" s="4" t="str">
        <f>"6400"</f>
        <v>6400</v>
      </c>
      <c r="J1448" s="2">
        <v>45902</v>
      </c>
      <c r="K1448" s="1" t="s">
        <v>3873</v>
      </c>
    </row>
    <row r="1449" spans="1:11" x14ac:dyDescent="0.35">
      <c r="A1449" s="3" t="s">
        <v>3513</v>
      </c>
      <c r="B1449" s="1" t="s">
        <v>3793</v>
      </c>
      <c r="C1449" s="1" t="s">
        <v>3797</v>
      </c>
      <c r="D1449" s="1" t="str">
        <f>"6220"</f>
        <v>6220</v>
      </c>
      <c r="E1449" s="1" t="str">
        <f>"014961925"</f>
        <v>014961925</v>
      </c>
      <c r="F1449" s="1" t="s">
        <v>3798</v>
      </c>
      <c r="G1449" s="3" t="s">
        <v>15</v>
      </c>
      <c r="H1449" s="3" t="str">
        <f>"1"</f>
        <v>1</v>
      </c>
      <c r="I1449" s="4">
        <v>44.34</v>
      </c>
      <c r="J1449" s="2">
        <v>45897</v>
      </c>
      <c r="K1449" s="1" t="s">
        <v>3799</v>
      </c>
    </row>
    <row r="1450" spans="1:11" x14ac:dyDescent="0.35">
      <c r="A1450" s="3" t="s">
        <v>3513</v>
      </c>
      <c r="B1450" s="1" t="s">
        <v>3793</v>
      </c>
      <c r="C1450" s="1" t="s">
        <v>3800</v>
      </c>
      <c r="D1450" s="1" t="str">
        <f>"6220"</f>
        <v>6220</v>
      </c>
      <c r="E1450" s="1" t="str">
        <f>"014961925"</f>
        <v>014961925</v>
      </c>
      <c r="F1450" s="1" t="s">
        <v>3798</v>
      </c>
      <c r="G1450" s="3" t="s">
        <v>15</v>
      </c>
      <c r="H1450" s="3" t="str">
        <f>"6"</f>
        <v>6</v>
      </c>
      <c r="I1450" s="4">
        <v>44.34</v>
      </c>
      <c r="J1450" s="2">
        <v>45897</v>
      </c>
      <c r="K1450" s="1" t="s">
        <v>3799</v>
      </c>
    </row>
    <row r="1451" spans="1:11" x14ac:dyDescent="0.35">
      <c r="A1451" s="3" t="s">
        <v>3513</v>
      </c>
      <c r="B1451" s="1" t="s">
        <v>3839</v>
      </c>
      <c r="C1451" s="1" t="s">
        <v>3840</v>
      </c>
      <c r="D1451" s="1" t="str">
        <f>"6545"</f>
        <v>6545</v>
      </c>
      <c r="E1451" s="1" t="str">
        <f>"015392732"</f>
        <v>015392732</v>
      </c>
      <c r="F1451" s="1" t="s">
        <v>1046</v>
      </c>
      <c r="G1451" s="3" t="s">
        <v>19</v>
      </c>
      <c r="H1451" s="3" t="str">
        <f>"13"</f>
        <v>13</v>
      </c>
      <c r="I1451" s="4">
        <v>562.78</v>
      </c>
      <c r="J1451" s="2">
        <v>45897</v>
      </c>
      <c r="K1451" s="1" t="s">
        <v>3841</v>
      </c>
    </row>
    <row r="1452" spans="1:11" x14ac:dyDescent="0.35">
      <c r="A1452" s="3" t="s">
        <v>3513</v>
      </c>
      <c r="B1452" s="1" t="s">
        <v>3839</v>
      </c>
      <c r="C1452" s="1" t="s">
        <v>3842</v>
      </c>
      <c r="D1452" s="1" t="str">
        <f>"6720"</f>
        <v>6720</v>
      </c>
      <c r="E1452" s="1" t="s">
        <v>443</v>
      </c>
      <c r="F1452" s="1" t="s">
        <v>444</v>
      </c>
      <c r="G1452" s="3" t="s">
        <v>15</v>
      </c>
      <c r="H1452" s="3" t="str">
        <f>"4"</f>
        <v>4</v>
      </c>
      <c r="I1452" s="4" t="str">
        <f>"3300"</f>
        <v>3300</v>
      </c>
      <c r="J1452" s="2">
        <v>45897</v>
      </c>
      <c r="K1452" s="1" t="s">
        <v>3843</v>
      </c>
    </row>
    <row r="1453" spans="1:11" x14ac:dyDescent="0.35">
      <c r="A1453" s="3" t="s">
        <v>3513</v>
      </c>
      <c r="B1453" s="1" t="s">
        <v>3651</v>
      </c>
      <c r="C1453" s="1" t="s">
        <v>3652</v>
      </c>
      <c r="D1453" s="1" t="str">
        <f>"5180"</f>
        <v>5180</v>
      </c>
      <c r="E1453" s="1" t="str">
        <f>"015877823"</f>
        <v>015877823</v>
      </c>
      <c r="F1453" s="1" t="s">
        <v>222</v>
      </c>
      <c r="G1453" s="3" t="s">
        <v>19</v>
      </c>
      <c r="H1453" s="3" t="str">
        <f>"2"</f>
        <v>2</v>
      </c>
      <c r="I1453" s="4">
        <v>2557.8000000000002</v>
      </c>
      <c r="J1453" s="2">
        <v>45895</v>
      </c>
      <c r="K1453" s="1" t="s">
        <v>3653</v>
      </c>
    </row>
    <row r="1454" spans="1:11" x14ac:dyDescent="0.35">
      <c r="A1454" s="3" t="s">
        <v>3513</v>
      </c>
      <c r="B1454" s="1" t="s">
        <v>3651</v>
      </c>
      <c r="C1454" s="1" t="s">
        <v>3659</v>
      </c>
      <c r="D1454" s="1" t="str">
        <f>"6115"</f>
        <v>6115</v>
      </c>
      <c r="E1454" s="1" t="str">
        <f>"015472420"</f>
        <v>015472420</v>
      </c>
      <c r="F1454" s="1" t="s">
        <v>2850</v>
      </c>
      <c r="G1454" s="3" t="s">
        <v>15</v>
      </c>
      <c r="H1454" s="3" t="str">
        <f>"1"</f>
        <v>1</v>
      </c>
      <c r="I1454" s="4">
        <v>2822.64</v>
      </c>
      <c r="J1454" s="2">
        <v>45895</v>
      </c>
      <c r="K1454" s="1" t="s">
        <v>3660</v>
      </c>
    </row>
    <row r="1455" spans="1:11" x14ac:dyDescent="0.35">
      <c r="A1455" s="3" t="s">
        <v>3513</v>
      </c>
      <c r="B1455" s="1" t="s">
        <v>3651</v>
      </c>
      <c r="C1455" s="1" t="s">
        <v>3661</v>
      </c>
      <c r="D1455" s="1" t="str">
        <f>"6720"</f>
        <v>6720</v>
      </c>
      <c r="E1455" s="1" t="str">
        <f>"015595685"</f>
        <v>015595685</v>
      </c>
      <c r="F1455" s="1" t="s">
        <v>1550</v>
      </c>
      <c r="G1455" s="3" t="s">
        <v>15</v>
      </c>
      <c r="H1455" s="3" t="str">
        <f>"1"</f>
        <v>1</v>
      </c>
      <c r="I1455" s="4">
        <v>1919.95</v>
      </c>
      <c r="J1455" s="2">
        <v>45895</v>
      </c>
      <c r="K1455" s="1" t="s">
        <v>3662</v>
      </c>
    </row>
    <row r="1456" spans="1:11" x14ac:dyDescent="0.35">
      <c r="A1456" s="3" t="s">
        <v>3513</v>
      </c>
      <c r="B1456" s="1" t="s">
        <v>3651</v>
      </c>
      <c r="C1456" s="1" t="s">
        <v>3663</v>
      </c>
      <c r="D1456" s="1" t="str">
        <f>"8115"</f>
        <v>8115</v>
      </c>
      <c r="E1456" s="1" t="str">
        <f>"015390058"</f>
        <v>015390058</v>
      </c>
      <c r="F1456" s="1" t="s">
        <v>3664</v>
      </c>
      <c r="G1456" s="3" t="s">
        <v>15</v>
      </c>
      <c r="H1456" s="3" t="str">
        <f>"2"</f>
        <v>2</v>
      </c>
      <c r="I1456" s="4">
        <v>123.54</v>
      </c>
      <c r="J1456" s="2">
        <v>45895</v>
      </c>
      <c r="K1456" s="1" t="s">
        <v>3665</v>
      </c>
    </row>
    <row r="1457" spans="1:11" x14ac:dyDescent="0.35">
      <c r="A1457" s="3" t="s">
        <v>3513</v>
      </c>
      <c r="B1457" s="1" t="s">
        <v>3514</v>
      </c>
      <c r="C1457" s="1" t="s">
        <v>3525</v>
      </c>
      <c r="D1457" s="1" t="str">
        <f>"2320"</f>
        <v>2320</v>
      </c>
      <c r="E1457" s="1" t="s">
        <v>274</v>
      </c>
      <c r="F1457" s="1" t="s">
        <v>275</v>
      </c>
      <c r="G1457" s="3" t="s">
        <v>15</v>
      </c>
      <c r="H1457" s="3" t="str">
        <f>"1"</f>
        <v>1</v>
      </c>
      <c r="I1457" s="4" t="str">
        <f>"30000"</f>
        <v>30000</v>
      </c>
      <c r="J1457" s="2">
        <v>45890</v>
      </c>
      <c r="K1457" s="1" t="s">
        <v>3526</v>
      </c>
    </row>
    <row r="1458" spans="1:11" x14ac:dyDescent="0.35">
      <c r="A1458" s="3" t="s">
        <v>3513</v>
      </c>
      <c r="B1458" s="1" t="s">
        <v>3514</v>
      </c>
      <c r="C1458" s="1" t="s">
        <v>3531</v>
      </c>
      <c r="D1458" s="1" t="str">
        <f>"2590"</f>
        <v>2590</v>
      </c>
      <c r="E1458" s="1" t="str">
        <f>"015686384"</f>
        <v>015686384</v>
      </c>
      <c r="F1458" s="1" t="s">
        <v>3532</v>
      </c>
      <c r="G1458" s="3" t="s">
        <v>19</v>
      </c>
      <c r="H1458" s="3" t="str">
        <f>"1"</f>
        <v>1</v>
      </c>
      <c r="I1458" s="4">
        <v>103.81</v>
      </c>
      <c r="J1458" s="2">
        <v>45890</v>
      </c>
      <c r="K1458" s="1" t="s">
        <v>3533</v>
      </c>
    </row>
    <row r="1459" spans="1:11" x14ac:dyDescent="0.35">
      <c r="A1459" s="3" t="s">
        <v>3513</v>
      </c>
      <c r="B1459" s="1" t="s">
        <v>3514</v>
      </c>
      <c r="C1459" s="1" t="s">
        <v>3534</v>
      </c>
      <c r="D1459" s="1" t="str">
        <f>"2590"</f>
        <v>2590</v>
      </c>
      <c r="E1459" s="1" t="str">
        <f>"015686324"</f>
        <v>015686324</v>
      </c>
      <c r="F1459" s="1" t="s">
        <v>3535</v>
      </c>
      <c r="G1459" s="3" t="s">
        <v>15</v>
      </c>
      <c r="H1459" s="3" t="str">
        <f>"1"</f>
        <v>1</v>
      </c>
      <c r="I1459" s="4">
        <v>123.49</v>
      </c>
      <c r="J1459" s="2">
        <v>45890</v>
      </c>
      <c r="K1459" s="1" t="s">
        <v>3536</v>
      </c>
    </row>
    <row r="1460" spans="1:11" x14ac:dyDescent="0.35">
      <c r="A1460" s="3" t="s">
        <v>3513</v>
      </c>
      <c r="B1460" s="1" t="s">
        <v>3514</v>
      </c>
      <c r="C1460" s="1" t="s">
        <v>3551</v>
      </c>
      <c r="D1460" s="1" t="str">
        <f>"5120"</f>
        <v>5120</v>
      </c>
      <c r="E1460" s="1" t="str">
        <f>"016043698"</f>
        <v>016043698</v>
      </c>
      <c r="F1460" s="1" t="s">
        <v>3552</v>
      </c>
      <c r="G1460" s="3" t="s">
        <v>15</v>
      </c>
      <c r="H1460" s="3" t="str">
        <f>"1"</f>
        <v>1</v>
      </c>
      <c r="I1460" s="4">
        <v>46.97</v>
      </c>
      <c r="J1460" s="2">
        <v>45890</v>
      </c>
      <c r="K1460" s="1" t="s">
        <v>3553</v>
      </c>
    </row>
    <row r="1461" spans="1:11" x14ac:dyDescent="0.35">
      <c r="A1461" s="3" t="s">
        <v>3513</v>
      </c>
      <c r="B1461" s="1" t="s">
        <v>3514</v>
      </c>
      <c r="C1461" s="1" t="s">
        <v>3564</v>
      </c>
      <c r="D1461" s="1" t="str">
        <f>"5120"</f>
        <v>5120</v>
      </c>
      <c r="E1461" s="1" t="str">
        <f>"016043721"</f>
        <v>016043721</v>
      </c>
      <c r="F1461" s="1" t="s">
        <v>1154</v>
      </c>
      <c r="G1461" s="3" t="s">
        <v>15</v>
      </c>
      <c r="H1461" s="3" t="str">
        <f>"1"</f>
        <v>1</v>
      </c>
      <c r="I1461" s="4">
        <v>47.05</v>
      </c>
      <c r="J1461" s="2">
        <v>45890</v>
      </c>
      <c r="K1461" s="1" t="s">
        <v>3565</v>
      </c>
    </row>
    <row r="1462" spans="1:11" x14ac:dyDescent="0.35">
      <c r="A1462" s="3" t="s">
        <v>3513</v>
      </c>
      <c r="B1462" s="1" t="s">
        <v>3514</v>
      </c>
      <c r="C1462" s="1" t="s">
        <v>3566</v>
      </c>
      <c r="D1462" s="1" t="str">
        <f>"5120"</f>
        <v>5120</v>
      </c>
      <c r="E1462" s="1" t="str">
        <f>"015359280"</f>
        <v>015359280</v>
      </c>
      <c r="F1462" s="1" t="s">
        <v>3567</v>
      </c>
      <c r="G1462" s="3" t="s">
        <v>15</v>
      </c>
      <c r="H1462" s="3" t="str">
        <f>"2"</f>
        <v>2</v>
      </c>
      <c r="I1462" s="4">
        <v>11.78</v>
      </c>
      <c r="J1462" s="2">
        <v>45890</v>
      </c>
      <c r="K1462" s="1" t="s">
        <v>3568</v>
      </c>
    </row>
    <row r="1463" spans="1:11" x14ac:dyDescent="0.35">
      <c r="A1463" s="3" t="s">
        <v>3513</v>
      </c>
      <c r="B1463" s="1" t="s">
        <v>3514</v>
      </c>
      <c r="C1463" s="1" t="s">
        <v>3569</v>
      </c>
      <c r="D1463" s="1" t="str">
        <f>"5120"</f>
        <v>5120</v>
      </c>
      <c r="E1463" s="1" t="str">
        <f>"016043749"</f>
        <v>016043749</v>
      </c>
      <c r="F1463" s="1" t="s">
        <v>3570</v>
      </c>
      <c r="G1463" s="3" t="s">
        <v>15</v>
      </c>
      <c r="H1463" s="3" t="str">
        <f>"1"</f>
        <v>1</v>
      </c>
      <c r="I1463" s="4">
        <v>18.010000000000002</v>
      </c>
      <c r="J1463" s="2">
        <v>45890</v>
      </c>
      <c r="K1463" s="1" t="s">
        <v>3571</v>
      </c>
    </row>
    <row r="1464" spans="1:11" x14ac:dyDescent="0.35">
      <c r="A1464" s="3" t="s">
        <v>3513</v>
      </c>
      <c r="B1464" s="1" t="s">
        <v>3514</v>
      </c>
      <c r="C1464" s="1" t="s">
        <v>3572</v>
      </c>
      <c r="D1464" s="1" t="str">
        <f>"5120"</f>
        <v>5120</v>
      </c>
      <c r="E1464" s="1" t="str">
        <f>"016043718"</f>
        <v>016043718</v>
      </c>
      <c r="F1464" s="1" t="s">
        <v>1154</v>
      </c>
      <c r="G1464" s="3" t="s">
        <v>15</v>
      </c>
      <c r="H1464" s="3" t="str">
        <f>"1"</f>
        <v>1</v>
      </c>
      <c r="I1464" s="4">
        <v>22.43</v>
      </c>
      <c r="J1464" s="2">
        <v>45890</v>
      </c>
      <c r="K1464" s="1" t="s">
        <v>3565</v>
      </c>
    </row>
    <row r="1465" spans="1:11" x14ac:dyDescent="0.35">
      <c r="A1465" s="3" t="s">
        <v>3513</v>
      </c>
      <c r="B1465" s="1" t="s">
        <v>3514</v>
      </c>
      <c r="C1465" s="1" t="s">
        <v>3573</v>
      </c>
      <c r="D1465" s="1" t="str">
        <f>"5120"</f>
        <v>5120</v>
      </c>
      <c r="E1465" s="1" t="str">
        <f>"016044170"</f>
        <v>016044170</v>
      </c>
      <c r="F1465" s="1" t="s">
        <v>3574</v>
      </c>
      <c r="G1465" s="3" t="s">
        <v>15</v>
      </c>
      <c r="H1465" s="3" t="str">
        <f>"1"</f>
        <v>1</v>
      </c>
      <c r="I1465" s="4">
        <v>23.66</v>
      </c>
      <c r="J1465" s="2">
        <v>45890</v>
      </c>
      <c r="K1465" s="1" t="s">
        <v>3575</v>
      </c>
    </row>
    <row r="1466" spans="1:11" x14ac:dyDescent="0.35">
      <c r="A1466" s="3" t="s">
        <v>3513</v>
      </c>
      <c r="B1466" s="1" t="s">
        <v>3514</v>
      </c>
      <c r="C1466" s="1" t="s">
        <v>3576</v>
      </c>
      <c r="D1466" s="1" t="str">
        <f>"5120"</f>
        <v>5120</v>
      </c>
      <c r="E1466" s="1" t="str">
        <f>"016498916"</f>
        <v>016498916</v>
      </c>
      <c r="F1466" s="1" t="s">
        <v>3577</v>
      </c>
      <c r="G1466" s="3" t="s">
        <v>15</v>
      </c>
      <c r="H1466" s="3" t="str">
        <f>"4"</f>
        <v>4</v>
      </c>
      <c r="I1466" s="4">
        <v>4.01</v>
      </c>
      <c r="J1466" s="2">
        <v>45890</v>
      </c>
      <c r="K1466" s="1" t="s">
        <v>3578</v>
      </c>
    </row>
    <row r="1467" spans="1:11" x14ac:dyDescent="0.35">
      <c r="A1467" s="3" t="s">
        <v>3513</v>
      </c>
      <c r="B1467" s="1" t="s">
        <v>3514</v>
      </c>
      <c r="C1467" s="1" t="s">
        <v>3579</v>
      </c>
      <c r="D1467" s="1" t="str">
        <f>"5120"</f>
        <v>5120</v>
      </c>
      <c r="E1467" s="1" t="str">
        <f>"016044301"</f>
        <v>016044301</v>
      </c>
      <c r="F1467" s="1" t="s">
        <v>3580</v>
      </c>
      <c r="G1467" s="3" t="s">
        <v>15</v>
      </c>
      <c r="H1467" s="3" t="str">
        <f>"2"</f>
        <v>2</v>
      </c>
      <c r="I1467" s="4">
        <v>15.32</v>
      </c>
      <c r="J1467" s="2">
        <v>45890</v>
      </c>
      <c r="K1467" s="1" t="s">
        <v>3581</v>
      </c>
    </row>
    <row r="1468" spans="1:11" x14ac:dyDescent="0.35">
      <c r="A1468" s="3" t="s">
        <v>3513</v>
      </c>
      <c r="B1468" s="1" t="s">
        <v>3514</v>
      </c>
      <c r="C1468" s="1" t="s">
        <v>3584</v>
      </c>
      <c r="D1468" s="1" t="str">
        <f>"5180"</f>
        <v>5180</v>
      </c>
      <c r="E1468" s="1" t="str">
        <f>"015595981"</f>
        <v>015595981</v>
      </c>
      <c r="F1468" s="1" t="s">
        <v>18</v>
      </c>
      <c r="G1468" s="3" t="s">
        <v>19</v>
      </c>
      <c r="H1468" s="3" t="str">
        <f>"2"</f>
        <v>2</v>
      </c>
      <c r="I1468" s="4" t="str">
        <f>"1774"</f>
        <v>1774</v>
      </c>
      <c r="J1468" s="2">
        <v>45890</v>
      </c>
      <c r="K1468" s="1" t="s">
        <v>3585</v>
      </c>
    </row>
    <row r="1469" spans="1:11" x14ac:dyDescent="0.35">
      <c r="A1469" s="3" t="s">
        <v>3513</v>
      </c>
      <c r="B1469" s="1" t="s">
        <v>3514</v>
      </c>
      <c r="C1469" s="1" t="s">
        <v>3589</v>
      </c>
      <c r="D1469" s="1" t="str">
        <f>"5965"</f>
        <v>5965</v>
      </c>
      <c r="E1469" s="1" t="str">
        <f>"016190258"</f>
        <v>016190258</v>
      </c>
      <c r="F1469" s="1" t="s">
        <v>22</v>
      </c>
      <c r="G1469" s="3" t="s">
        <v>15</v>
      </c>
      <c r="H1469" s="3" t="str">
        <f>"2"</f>
        <v>2</v>
      </c>
      <c r="I1469" s="4" t="str">
        <f>"3069"</f>
        <v>3069</v>
      </c>
      <c r="J1469" s="2">
        <v>45890</v>
      </c>
      <c r="K1469" s="1" t="s">
        <v>3590</v>
      </c>
    </row>
    <row r="1470" spans="1:11" x14ac:dyDescent="0.35">
      <c r="A1470" s="3" t="s">
        <v>3513</v>
      </c>
      <c r="B1470" s="1" t="s">
        <v>3514</v>
      </c>
      <c r="C1470" s="1" t="s">
        <v>3619</v>
      </c>
      <c r="D1470" s="1" t="str">
        <f>"8415"</f>
        <v>8415</v>
      </c>
      <c r="E1470" s="1" t="str">
        <f>"016603248"</f>
        <v>016603248</v>
      </c>
      <c r="F1470" s="1" t="s">
        <v>3620</v>
      </c>
      <c r="G1470" s="3" t="s">
        <v>290</v>
      </c>
      <c r="H1470" s="3" t="str">
        <f>"1"</f>
        <v>1</v>
      </c>
      <c r="I1470" s="4">
        <v>77.680000000000007</v>
      </c>
      <c r="J1470" s="2">
        <v>45890</v>
      </c>
      <c r="K1470" s="1" t="s">
        <v>3621</v>
      </c>
    </row>
    <row r="1471" spans="1:11" x14ac:dyDescent="0.35">
      <c r="A1471" s="3" t="s">
        <v>3513</v>
      </c>
      <c r="B1471" s="1" t="s">
        <v>3514</v>
      </c>
      <c r="C1471" s="1" t="s">
        <v>3631</v>
      </c>
      <c r="D1471" s="1" t="str">
        <f>"8415"</f>
        <v>8415</v>
      </c>
      <c r="E1471" s="1" t="str">
        <f>"015769715"</f>
        <v>015769715</v>
      </c>
      <c r="F1471" s="1" t="s">
        <v>3632</v>
      </c>
      <c r="G1471" s="3" t="s">
        <v>15</v>
      </c>
      <c r="H1471" s="3" t="str">
        <f>"3"</f>
        <v>3</v>
      </c>
      <c r="I1471" s="4">
        <v>11.41</v>
      </c>
      <c r="J1471" s="2">
        <v>45890</v>
      </c>
      <c r="K1471" s="1" t="s">
        <v>3633</v>
      </c>
    </row>
    <row r="1472" spans="1:11" x14ac:dyDescent="0.35">
      <c r="A1472" s="3" t="s">
        <v>3513</v>
      </c>
      <c r="B1472" s="1" t="s">
        <v>3672</v>
      </c>
      <c r="C1472" s="1" t="s">
        <v>3673</v>
      </c>
      <c r="D1472" s="1" t="str">
        <f>"5660"</f>
        <v>5660</v>
      </c>
      <c r="E1472" s="1" t="str">
        <f>"014956363"</f>
        <v>014956363</v>
      </c>
      <c r="F1472" s="1" t="s">
        <v>171</v>
      </c>
      <c r="G1472" s="3" t="s">
        <v>15</v>
      </c>
      <c r="H1472" s="3" t="str">
        <f>"402"</f>
        <v>402</v>
      </c>
      <c r="I1472" s="4">
        <v>809.91</v>
      </c>
      <c r="J1472" s="2">
        <v>45890</v>
      </c>
      <c r="K1472" s="1" t="s">
        <v>4312</v>
      </c>
    </row>
    <row r="1473" spans="1:11" x14ac:dyDescent="0.35">
      <c r="A1473" s="3" t="s">
        <v>3513</v>
      </c>
      <c r="B1473" s="1" t="s">
        <v>3801</v>
      </c>
      <c r="C1473" s="1" t="s">
        <v>3818</v>
      </c>
      <c r="D1473" s="1" t="str">
        <f>"6220"</f>
        <v>6220</v>
      </c>
      <c r="E1473" s="1" t="str">
        <f>"015304443"</f>
        <v>015304443</v>
      </c>
      <c r="F1473" s="1" t="s">
        <v>3406</v>
      </c>
      <c r="G1473" s="3" t="s">
        <v>15</v>
      </c>
      <c r="H1473" s="3" t="str">
        <f>"3"</f>
        <v>3</v>
      </c>
      <c r="I1473" s="4">
        <v>11088.32</v>
      </c>
      <c r="J1473" s="2">
        <v>45889</v>
      </c>
      <c r="K1473" s="1" t="s">
        <v>3819</v>
      </c>
    </row>
    <row r="1474" spans="1:11" x14ac:dyDescent="0.35">
      <c r="A1474" s="3" t="s">
        <v>3513</v>
      </c>
      <c r="B1474" s="1" t="s">
        <v>3801</v>
      </c>
      <c r="C1474" s="1" t="s">
        <v>3820</v>
      </c>
      <c r="D1474" s="1" t="str">
        <f>"6230"</f>
        <v>6230</v>
      </c>
      <c r="E1474" s="1" t="str">
        <f>"016667749"</f>
        <v>016667749</v>
      </c>
      <c r="F1474" s="1" t="s">
        <v>1527</v>
      </c>
      <c r="G1474" s="3" t="s">
        <v>15</v>
      </c>
      <c r="H1474" s="3" t="str">
        <f>"3"</f>
        <v>3</v>
      </c>
      <c r="I1474" s="4">
        <v>6922.13</v>
      </c>
      <c r="J1474" s="2">
        <v>45889</v>
      </c>
      <c r="K1474" s="1" t="s">
        <v>3821</v>
      </c>
    </row>
    <row r="1475" spans="1:11" x14ac:dyDescent="0.35">
      <c r="A1475" s="3" t="s">
        <v>3513</v>
      </c>
      <c r="B1475" s="1" t="s">
        <v>3801</v>
      </c>
      <c r="C1475" s="1" t="s">
        <v>3829</v>
      </c>
      <c r="D1475" s="1" t="str">
        <f>"7021"</f>
        <v>7021</v>
      </c>
      <c r="E1475" s="1" t="s">
        <v>3830</v>
      </c>
      <c r="F1475" s="1" t="s">
        <v>3831</v>
      </c>
      <c r="G1475" s="3" t="s">
        <v>15</v>
      </c>
      <c r="H1475" s="3" t="str">
        <f>"2"</f>
        <v>2</v>
      </c>
      <c r="I1475" s="4">
        <v>10940.51</v>
      </c>
      <c r="J1475" s="2">
        <v>45889</v>
      </c>
      <c r="K1475" s="1" t="s">
        <v>3832</v>
      </c>
    </row>
    <row r="1476" spans="1:11" x14ac:dyDescent="0.35">
      <c r="A1476" s="3" t="s">
        <v>3513</v>
      </c>
      <c r="B1476" s="1" t="s">
        <v>3801</v>
      </c>
      <c r="C1476" s="1" t="s">
        <v>3833</v>
      </c>
      <c r="D1476" s="1" t="str">
        <f>"7025"</f>
        <v>7025</v>
      </c>
      <c r="E1476" s="1" t="s">
        <v>2323</v>
      </c>
      <c r="F1476" s="1" t="s">
        <v>2324</v>
      </c>
      <c r="G1476" s="3" t="s">
        <v>15</v>
      </c>
      <c r="H1476" s="3" t="str">
        <f>"14"</f>
        <v>14</v>
      </c>
      <c r="I1476" s="4" t="str">
        <f>"125"</f>
        <v>125</v>
      </c>
      <c r="J1476" s="2">
        <v>45889</v>
      </c>
      <c r="K1476" s="1" t="s">
        <v>3834</v>
      </c>
    </row>
    <row r="1477" spans="1:11" x14ac:dyDescent="0.35">
      <c r="A1477" s="3" t="s">
        <v>3513</v>
      </c>
      <c r="B1477" s="1" t="s">
        <v>3637</v>
      </c>
      <c r="C1477" s="1" t="s">
        <v>3647</v>
      </c>
      <c r="D1477" s="1" t="str">
        <f>"8140"</f>
        <v>8140</v>
      </c>
      <c r="E1477" s="1" t="str">
        <f>"009601699"</f>
        <v>009601699</v>
      </c>
      <c r="F1477" s="1" t="s">
        <v>1599</v>
      </c>
      <c r="G1477" s="3" t="s">
        <v>15</v>
      </c>
      <c r="H1477" s="3" t="str">
        <f>"1"</f>
        <v>1</v>
      </c>
      <c r="I1477" s="4">
        <v>11.1</v>
      </c>
      <c r="J1477" s="2">
        <v>45888</v>
      </c>
      <c r="K1477" s="1" t="s">
        <v>3648</v>
      </c>
    </row>
    <row r="1478" spans="1:11" x14ac:dyDescent="0.35">
      <c r="A1478" s="3" t="s">
        <v>3513</v>
      </c>
      <c r="B1478" s="1" t="s">
        <v>3637</v>
      </c>
      <c r="C1478" s="1" t="s">
        <v>3649</v>
      </c>
      <c r="D1478" s="1" t="str">
        <f>"8140"</f>
        <v>8140</v>
      </c>
      <c r="E1478" s="1" t="str">
        <f>"009601699"</f>
        <v>009601699</v>
      </c>
      <c r="F1478" s="1" t="s">
        <v>1599</v>
      </c>
      <c r="G1478" s="3" t="s">
        <v>15</v>
      </c>
      <c r="H1478" s="3" t="str">
        <f>"1"</f>
        <v>1</v>
      </c>
      <c r="I1478" s="4">
        <v>11.1</v>
      </c>
      <c r="J1478" s="2">
        <v>45888</v>
      </c>
      <c r="K1478" s="1" t="s">
        <v>3650</v>
      </c>
    </row>
    <row r="1479" spans="1:11" x14ac:dyDescent="0.35">
      <c r="A1479" s="3" t="s">
        <v>3513</v>
      </c>
      <c r="B1479" s="1" t="s">
        <v>3651</v>
      </c>
      <c r="C1479" s="1" t="s">
        <v>3654</v>
      </c>
      <c r="D1479" s="1" t="str">
        <f>"5855"</f>
        <v>5855</v>
      </c>
      <c r="E1479" s="1" t="str">
        <f>"015356166"</f>
        <v>015356166</v>
      </c>
      <c r="F1479" s="1" t="s">
        <v>703</v>
      </c>
      <c r="G1479" s="3" t="s">
        <v>15</v>
      </c>
      <c r="H1479" s="3" t="str">
        <f>"4"</f>
        <v>4</v>
      </c>
      <c r="I1479" s="4" t="str">
        <f>"906"</f>
        <v>906</v>
      </c>
      <c r="J1479" s="2">
        <v>45883</v>
      </c>
      <c r="K1479" s="1" t="s">
        <v>3655</v>
      </c>
    </row>
    <row r="1480" spans="1:11" x14ac:dyDescent="0.35">
      <c r="A1480" s="3" t="s">
        <v>3513</v>
      </c>
      <c r="B1480" s="1" t="s">
        <v>3787</v>
      </c>
      <c r="C1480" s="1" t="s">
        <v>3788</v>
      </c>
      <c r="D1480" s="1" t="str">
        <f>"2320"</f>
        <v>2320</v>
      </c>
      <c r="E1480" s="1" t="str">
        <f>"013719583"</f>
        <v>013719583</v>
      </c>
      <c r="F1480" s="1" t="s">
        <v>604</v>
      </c>
      <c r="G1480" s="3" t="s">
        <v>15</v>
      </c>
      <c r="H1480" s="3" t="str">
        <f>"1"</f>
        <v>1</v>
      </c>
      <c r="I1480" s="4" t="str">
        <f>"63682"</f>
        <v>63682</v>
      </c>
      <c r="J1480" s="2">
        <v>45881</v>
      </c>
      <c r="K1480" s="1" t="s">
        <v>3789</v>
      </c>
    </row>
    <row r="1481" spans="1:11" x14ac:dyDescent="0.35">
      <c r="A1481" s="3" t="s">
        <v>3513</v>
      </c>
      <c r="B1481" s="1" t="s">
        <v>3666</v>
      </c>
      <c r="C1481" s="1" t="s">
        <v>3667</v>
      </c>
      <c r="D1481" s="1" t="str">
        <f>"8465"</f>
        <v>8465</v>
      </c>
      <c r="E1481" s="1" t="str">
        <f>"015313147"</f>
        <v>015313147</v>
      </c>
      <c r="F1481" s="1" t="s">
        <v>3668</v>
      </c>
      <c r="G1481" s="3" t="s">
        <v>15</v>
      </c>
      <c r="H1481" s="3" t="str">
        <f>"16"</f>
        <v>16</v>
      </c>
      <c r="I1481" s="4">
        <v>8.65</v>
      </c>
      <c r="J1481" s="2">
        <v>45876</v>
      </c>
      <c r="K1481" s="1" t="s">
        <v>3669</v>
      </c>
    </row>
    <row r="1482" spans="1:11" x14ac:dyDescent="0.35">
      <c r="A1482" s="3" t="s">
        <v>3513</v>
      </c>
      <c r="B1482" s="1" t="s">
        <v>3666</v>
      </c>
      <c r="C1482" s="1" t="s">
        <v>3670</v>
      </c>
      <c r="D1482" s="1" t="str">
        <f>"8465"</f>
        <v>8465</v>
      </c>
      <c r="E1482" s="1" t="str">
        <f>"015313647"</f>
        <v>015313647</v>
      </c>
      <c r="F1482" s="1" t="s">
        <v>3671</v>
      </c>
      <c r="G1482" s="3" t="s">
        <v>15</v>
      </c>
      <c r="H1482" s="3" t="str">
        <f>"24"</f>
        <v>24</v>
      </c>
      <c r="I1482" s="4">
        <v>13.09</v>
      </c>
      <c r="J1482" s="2">
        <v>45876</v>
      </c>
      <c r="K1482" s="1" t="s">
        <v>3669</v>
      </c>
    </row>
    <row r="1483" spans="1:11" x14ac:dyDescent="0.35">
      <c r="A1483" s="3" t="s">
        <v>3513</v>
      </c>
      <c r="B1483" s="1" t="s">
        <v>3874</v>
      </c>
      <c r="C1483" s="1" t="s">
        <v>3877</v>
      </c>
      <c r="D1483" s="1" t="str">
        <f>"6115"</f>
        <v>6115</v>
      </c>
      <c r="E1483" s="1" t="str">
        <f>"014351565"</f>
        <v>014351565</v>
      </c>
      <c r="F1483" s="1" t="s">
        <v>435</v>
      </c>
      <c r="G1483" s="3" t="s">
        <v>15</v>
      </c>
      <c r="H1483" s="3" t="str">
        <f>"1"</f>
        <v>1</v>
      </c>
      <c r="I1483" s="4" t="str">
        <f>"5262"</f>
        <v>5262</v>
      </c>
      <c r="J1483" s="2">
        <v>45875</v>
      </c>
      <c r="K1483" s="1" t="s">
        <v>3878</v>
      </c>
    </row>
    <row r="1484" spans="1:11" x14ac:dyDescent="0.35">
      <c r="A1484" s="3" t="s">
        <v>3513</v>
      </c>
      <c r="B1484" s="1" t="s">
        <v>3839</v>
      </c>
      <c r="C1484" s="1" t="s">
        <v>3844</v>
      </c>
      <c r="D1484" s="1" t="str">
        <f>"8465"</f>
        <v>8465</v>
      </c>
      <c r="E1484" s="1" t="str">
        <f>"016046325"</f>
        <v>016046325</v>
      </c>
      <c r="F1484" s="1" t="s">
        <v>2210</v>
      </c>
      <c r="G1484" s="3" t="s">
        <v>19</v>
      </c>
      <c r="H1484" s="3" t="str">
        <f>"2"</f>
        <v>2</v>
      </c>
      <c r="I1484" s="4">
        <v>11407.95</v>
      </c>
      <c r="J1484" s="2">
        <v>45874</v>
      </c>
      <c r="K1484" s="1" t="s">
        <v>3845</v>
      </c>
    </row>
    <row r="1485" spans="1:11" x14ac:dyDescent="0.35">
      <c r="A1485" s="3" t="s">
        <v>3513</v>
      </c>
      <c r="B1485" s="1" t="s">
        <v>3770</v>
      </c>
      <c r="C1485" s="1" t="s">
        <v>3774</v>
      </c>
      <c r="D1485" s="1" t="str">
        <f>"3895"</f>
        <v>3895</v>
      </c>
      <c r="E1485" s="1" t="s">
        <v>396</v>
      </c>
      <c r="F1485" s="1" t="s">
        <v>397</v>
      </c>
      <c r="G1485" s="3" t="s">
        <v>15</v>
      </c>
      <c r="H1485" s="3" t="str">
        <f>"1"</f>
        <v>1</v>
      </c>
      <c r="I1485" s="4" t="str">
        <f>"47507"</f>
        <v>47507</v>
      </c>
      <c r="J1485" s="2">
        <v>45873</v>
      </c>
      <c r="K1485" s="1" t="s">
        <v>3775</v>
      </c>
    </row>
    <row r="1486" spans="1:11" x14ac:dyDescent="0.35">
      <c r="A1486" s="3" t="s">
        <v>3513</v>
      </c>
      <c r="B1486" s="1" t="s">
        <v>3770</v>
      </c>
      <c r="C1486" s="1" t="s">
        <v>3776</v>
      </c>
      <c r="D1486" s="1" t="str">
        <f>"6115"</f>
        <v>6115</v>
      </c>
      <c r="E1486" s="1" t="s">
        <v>174</v>
      </c>
      <c r="F1486" s="1" t="s">
        <v>175</v>
      </c>
      <c r="G1486" s="3" t="s">
        <v>15</v>
      </c>
      <c r="H1486" s="3" t="str">
        <f>"1"</f>
        <v>1</v>
      </c>
      <c r="I1486" s="4" t="str">
        <f>"65000"</f>
        <v>65000</v>
      </c>
      <c r="J1486" s="2">
        <v>45873</v>
      </c>
      <c r="K1486" s="1" t="s">
        <v>3777</v>
      </c>
    </row>
    <row r="1487" spans="1:11" x14ac:dyDescent="0.35">
      <c r="A1487" s="3" t="s">
        <v>3513</v>
      </c>
      <c r="B1487" s="1" t="s">
        <v>3801</v>
      </c>
      <c r="C1487" s="1" t="s">
        <v>3805</v>
      </c>
      <c r="D1487" s="1" t="str">
        <f>"1240"</f>
        <v>1240</v>
      </c>
      <c r="E1487" s="1" t="str">
        <f>"014951385"</f>
        <v>014951385</v>
      </c>
      <c r="F1487" s="1" t="s">
        <v>269</v>
      </c>
      <c r="G1487" s="3" t="s">
        <v>15</v>
      </c>
      <c r="H1487" s="3" t="str">
        <f>"2"</f>
        <v>2</v>
      </c>
      <c r="I1487" s="4" t="str">
        <f>"536"</f>
        <v>536</v>
      </c>
      <c r="J1487" s="2">
        <v>45873</v>
      </c>
      <c r="K1487" s="1" t="s">
        <v>3806</v>
      </c>
    </row>
    <row r="1488" spans="1:11" x14ac:dyDescent="0.35">
      <c r="A1488" s="3" t="s">
        <v>3513</v>
      </c>
      <c r="B1488" s="1" t="s">
        <v>3770</v>
      </c>
      <c r="C1488" s="1" t="s">
        <v>3778</v>
      </c>
      <c r="D1488" s="1" t="str">
        <f>"8145"</f>
        <v>8145</v>
      </c>
      <c r="E1488" s="1" t="str">
        <f>"015755398"</f>
        <v>015755398</v>
      </c>
      <c r="F1488" s="1" t="s">
        <v>3779</v>
      </c>
      <c r="G1488" s="3" t="s">
        <v>15</v>
      </c>
      <c r="H1488" s="3" t="str">
        <f>"1"</f>
        <v>1</v>
      </c>
      <c r="I1488" s="4" t="str">
        <f>"9705"</f>
        <v>9705</v>
      </c>
      <c r="J1488" s="2">
        <v>45869</v>
      </c>
      <c r="K1488" s="1" t="s">
        <v>3780</v>
      </c>
    </row>
    <row r="1489" spans="1:11" x14ac:dyDescent="0.35">
      <c r="A1489" s="3" t="s">
        <v>3513</v>
      </c>
      <c r="B1489" s="1" t="s">
        <v>3514</v>
      </c>
      <c r="C1489" s="1" t="s">
        <v>3542</v>
      </c>
      <c r="D1489" s="1" t="str">
        <f>"4240"</f>
        <v>4240</v>
      </c>
      <c r="E1489" s="1" t="str">
        <f>"014635449"</f>
        <v>014635449</v>
      </c>
      <c r="F1489" s="1" t="s">
        <v>3543</v>
      </c>
      <c r="G1489" s="3" t="s">
        <v>290</v>
      </c>
      <c r="H1489" s="3" t="str">
        <f>"2"</f>
        <v>2</v>
      </c>
      <c r="I1489" s="4">
        <v>20.92</v>
      </c>
      <c r="J1489" s="2">
        <v>45868</v>
      </c>
      <c r="K1489" s="1" t="s">
        <v>3544</v>
      </c>
    </row>
    <row r="1490" spans="1:11" x14ac:dyDescent="0.35">
      <c r="A1490" s="3" t="s">
        <v>3513</v>
      </c>
      <c r="B1490" s="1" t="s">
        <v>3514</v>
      </c>
      <c r="C1490" s="1" t="s">
        <v>3548</v>
      </c>
      <c r="D1490" s="1" t="str">
        <f>"5120"</f>
        <v>5120</v>
      </c>
      <c r="E1490" s="1" t="str">
        <f>"002431689"</f>
        <v>002431689</v>
      </c>
      <c r="F1490" s="1" t="s">
        <v>3549</v>
      </c>
      <c r="G1490" s="3" t="s">
        <v>15</v>
      </c>
      <c r="H1490" s="3" t="str">
        <f>"2"</f>
        <v>2</v>
      </c>
      <c r="I1490" s="4">
        <v>9.83</v>
      </c>
      <c r="J1490" s="2">
        <v>45868</v>
      </c>
      <c r="K1490" s="1" t="s">
        <v>3550</v>
      </c>
    </row>
    <row r="1491" spans="1:11" x14ac:dyDescent="0.35">
      <c r="A1491" s="3" t="s">
        <v>3513</v>
      </c>
      <c r="B1491" s="1" t="s">
        <v>3514</v>
      </c>
      <c r="C1491" s="1" t="s">
        <v>3554</v>
      </c>
      <c r="D1491" s="1" t="str">
        <f>"5120"</f>
        <v>5120</v>
      </c>
      <c r="E1491" s="1" t="str">
        <f>"010547138"</f>
        <v>010547138</v>
      </c>
      <c r="F1491" s="1" t="s">
        <v>3555</v>
      </c>
      <c r="G1491" s="3" t="s">
        <v>15</v>
      </c>
      <c r="H1491" s="3" t="str">
        <f>"2"</f>
        <v>2</v>
      </c>
      <c r="I1491" s="4">
        <v>29.48</v>
      </c>
      <c r="J1491" s="2">
        <v>45868</v>
      </c>
      <c r="K1491" s="1" t="s">
        <v>3556</v>
      </c>
    </row>
    <row r="1492" spans="1:11" x14ac:dyDescent="0.35">
      <c r="A1492" s="3" t="s">
        <v>3513</v>
      </c>
      <c r="B1492" s="1" t="s">
        <v>3514</v>
      </c>
      <c r="C1492" s="1" t="s">
        <v>3557</v>
      </c>
      <c r="D1492" s="1" t="str">
        <f>"5120"</f>
        <v>5120</v>
      </c>
      <c r="E1492" s="1" t="str">
        <f>"010547139"</f>
        <v>010547139</v>
      </c>
      <c r="F1492" s="1" t="s">
        <v>3555</v>
      </c>
      <c r="G1492" s="3" t="s">
        <v>15</v>
      </c>
      <c r="H1492" s="3" t="str">
        <f>"2"</f>
        <v>2</v>
      </c>
      <c r="I1492" s="4">
        <v>33.19</v>
      </c>
      <c r="J1492" s="2">
        <v>45868</v>
      </c>
      <c r="K1492" s="1" t="s">
        <v>3556</v>
      </c>
    </row>
    <row r="1493" spans="1:11" x14ac:dyDescent="0.35">
      <c r="A1493" s="3" t="s">
        <v>3513</v>
      </c>
      <c r="B1493" s="1" t="s">
        <v>3514</v>
      </c>
      <c r="C1493" s="1" t="s">
        <v>3558</v>
      </c>
      <c r="D1493" s="1" t="str">
        <f>"5120"</f>
        <v>5120</v>
      </c>
      <c r="E1493" s="1" t="str">
        <f>"010547141"</f>
        <v>010547141</v>
      </c>
      <c r="F1493" s="1" t="s">
        <v>3555</v>
      </c>
      <c r="G1493" s="3" t="s">
        <v>15</v>
      </c>
      <c r="H1493" s="3" t="str">
        <f>"2"</f>
        <v>2</v>
      </c>
      <c r="I1493" s="4">
        <v>24.05</v>
      </c>
      <c r="J1493" s="2">
        <v>45868</v>
      </c>
      <c r="K1493" s="1" t="s">
        <v>3556</v>
      </c>
    </row>
    <row r="1494" spans="1:11" x14ac:dyDescent="0.35">
      <c r="A1494" s="3" t="s">
        <v>3513</v>
      </c>
      <c r="B1494" s="1" t="s">
        <v>3514</v>
      </c>
      <c r="C1494" s="1" t="s">
        <v>3559</v>
      </c>
      <c r="D1494" s="1" t="str">
        <f>"5120"</f>
        <v>5120</v>
      </c>
      <c r="E1494" s="1" t="str">
        <f>"013998827"</f>
        <v>013998827</v>
      </c>
      <c r="F1494" s="1" t="s">
        <v>3555</v>
      </c>
      <c r="G1494" s="3" t="s">
        <v>15</v>
      </c>
      <c r="H1494" s="3" t="str">
        <f>"2"</f>
        <v>2</v>
      </c>
      <c r="I1494" s="4">
        <v>75.650000000000006</v>
      </c>
      <c r="J1494" s="2">
        <v>45868</v>
      </c>
      <c r="K1494" s="1" t="s">
        <v>3556</v>
      </c>
    </row>
    <row r="1495" spans="1:11" x14ac:dyDescent="0.35">
      <c r="A1495" s="3" t="s">
        <v>3513</v>
      </c>
      <c r="B1495" s="1" t="s">
        <v>3514</v>
      </c>
      <c r="C1495" s="1" t="s">
        <v>3563</v>
      </c>
      <c r="D1495" s="1" t="str">
        <f>"5120"</f>
        <v>5120</v>
      </c>
      <c r="E1495" s="1" t="str">
        <f>"002437326"</f>
        <v>002437326</v>
      </c>
      <c r="F1495" s="1" t="s">
        <v>3549</v>
      </c>
      <c r="G1495" s="3" t="s">
        <v>15</v>
      </c>
      <c r="H1495" s="3" t="str">
        <f>"2"</f>
        <v>2</v>
      </c>
      <c r="I1495" s="4">
        <v>18.88</v>
      </c>
      <c r="J1495" s="2">
        <v>45868</v>
      </c>
      <c r="K1495" s="1" t="s">
        <v>3550</v>
      </c>
    </row>
    <row r="1496" spans="1:11" x14ac:dyDescent="0.35">
      <c r="A1496" s="3" t="s">
        <v>3513</v>
      </c>
      <c r="B1496" s="1" t="s">
        <v>3514</v>
      </c>
      <c r="C1496" s="1" t="s">
        <v>3582</v>
      </c>
      <c r="D1496" s="1" t="str">
        <f>"5130"</f>
        <v>5130</v>
      </c>
      <c r="E1496" s="1" t="s">
        <v>508</v>
      </c>
      <c r="F1496" s="1" t="s">
        <v>509</v>
      </c>
      <c r="G1496" s="3" t="s">
        <v>15</v>
      </c>
      <c r="H1496" s="3" t="str">
        <f>"2"</f>
        <v>2</v>
      </c>
      <c r="I1496" s="4" t="str">
        <f>"141"</f>
        <v>141</v>
      </c>
      <c r="J1496" s="2">
        <v>45868</v>
      </c>
      <c r="K1496" s="1" t="s">
        <v>3583</v>
      </c>
    </row>
    <row r="1497" spans="1:11" x14ac:dyDescent="0.35">
      <c r="A1497" s="3" t="s">
        <v>3513</v>
      </c>
      <c r="B1497" s="1" t="s">
        <v>3514</v>
      </c>
      <c r="C1497" s="1" t="s">
        <v>3611</v>
      </c>
      <c r="D1497" s="1" t="str">
        <f>"7920"</f>
        <v>7920</v>
      </c>
      <c r="E1497" s="1" t="s">
        <v>1243</v>
      </c>
      <c r="F1497" s="1" t="s">
        <v>1244</v>
      </c>
      <c r="G1497" s="3" t="s">
        <v>15</v>
      </c>
      <c r="H1497" s="3" t="str">
        <f>"2"</f>
        <v>2</v>
      </c>
      <c r="I1497" s="4" t="str">
        <f>"50"</f>
        <v>50</v>
      </c>
      <c r="J1497" s="2">
        <v>45868</v>
      </c>
      <c r="K1497" s="1" t="s">
        <v>3612</v>
      </c>
    </row>
    <row r="1498" spans="1:11" x14ac:dyDescent="0.35">
      <c r="A1498" s="3" t="s">
        <v>3513</v>
      </c>
      <c r="B1498" s="1" t="s">
        <v>3514</v>
      </c>
      <c r="C1498" s="1" t="s">
        <v>3616</v>
      </c>
      <c r="D1498" s="1" t="str">
        <f>"8405"</f>
        <v>8405</v>
      </c>
      <c r="E1498" s="1" t="str">
        <f>"015275330"</f>
        <v>015275330</v>
      </c>
      <c r="F1498" s="1" t="s">
        <v>3617</v>
      </c>
      <c r="G1498" s="3" t="s">
        <v>15</v>
      </c>
      <c r="H1498" s="3" t="str">
        <f>"7"</f>
        <v>7</v>
      </c>
      <c r="I1498" s="4">
        <v>7.06</v>
      </c>
      <c r="J1498" s="2">
        <v>45868</v>
      </c>
      <c r="K1498" s="1" t="s">
        <v>3618</v>
      </c>
    </row>
    <row r="1499" spans="1:11" x14ac:dyDescent="0.35">
      <c r="A1499" s="3" t="s">
        <v>3513</v>
      </c>
      <c r="B1499" s="1" t="s">
        <v>3770</v>
      </c>
      <c r="C1499" s="1" t="s">
        <v>3781</v>
      </c>
      <c r="D1499" s="1" t="str">
        <f>"8145"</f>
        <v>8145</v>
      </c>
      <c r="E1499" s="1" t="str">
        <f>"015755398"</f>
        <v>015755398</v>
      </c>
      <c r="F1499" s="1" t="s">
        <v>3779</v>
      </c>
      <c r="G1499" s="3" t="s">
        <v>15</v>
      </c>
      <c r="H1499" s="3" t="str">
        <f>"1"</f>
        <v>1</v>
      </c>
      <c r="I1499" s="4" t="str">
        <f>"9705"</f>
        <v>9705</v>
      </c>
      <c r="J1499" s="2">
        <v>45868</v>
      </c>
      <c r="K1499" s="1" t="s">
        <v>3780</v>
      </c>
    </row>
    <row r="1500" spans="1:11" x14ac:dyDescent="0.35">
      <c r="A1500" s="3" t="s">
        <v>3513</v>
      </c>
      <c r="B1500" s="1" t="s">
        <v>3684</v>
      </c>
      <c r="C1500" s="1" t="s">
        <v>3687</v>
      </c>
      <c r="D1500" s="1" t="str">
        <f>"2340"</f>
        <v>2340</v>
      </c>
      <c r="E1500" s="1" t="s">
        <v>2003</v>
      </c>
      <c r="F1500" s="1" t="s">
        <v>2004</v>
      </c>
      <c r="G1500" s="3" t="s">
        <v>15</v>
      </c>
      <c r="H1500" s="3" t="str">
        <f>"1"</f>
        <v>1</v>
      </c>
      <c r="I1500" s="4" t="str">
        <f>"4500"</f>
        <v>4500</v>
      </c>
      <c r="J1500" s="2">
        <v>45867</v>
      </c>
      <c r="K1500" s="1" t="s">
        <v>3688</v>
      </c>
    </row>
    <row r="1501" spans="1:11" x14ac:dyDescent="0.35">
      <c r="A1501" s="3" t="s">
        <v>3513</v>
      </c>
      <c r="B1501" s="1" t="s">
        <v>3684</v>
      </c>
      <c r="C1501" s="1" t="s">
        <v>3689</v>
      </c>
      <c r="D1501" s="1" t="str">
        <f>"2520"</f>
        <v>2520</v>
      </c>
      <c r="E1501" s="1" t="str">
        <f>"012069575"</f>
        <v>012069575</v>
      </c>
      <c r="F1501" s="1" t="s">
        <v>3690</v>
      </c>
      <c r="G1501" s="3" t="s">
        <v>15</v>
      </c>
      <c r="H1501" s="3" t="str">
        <f>"2"</f>
        <v>2</v>
      </c>
      <c r="I1501" s="4">
        <v>224.19</v>
      </c>
      <c r="J1501" s="2">
        <v>45867</v>
      </c>
      <c r="K1501" s="1" t="s">
        <v>3691</v>
      </c>
    </row>
    <row r="1502" spans="1:11" x14ac:dyDescent="0.35">
      <c r="A1502" s="3" t="s">
        <v>3513</v>
      </c>
      <c r="B1502" s="1" t="s">
        <v>3684</v>
      </c>
      <c r="C1502" s="1" t="s">
        <v>3695</v>
      </c>
      <c r="D1502" s="1" t="str">
        <f>"2530"</f>
        <v>2530</v>
      </c>
      <c r="E1502" s="1" t="str">
        <f>"007346982"</f>
        <v>007346982</v>
      </c>
      <c r="F1502" s="1" t="s">
        <v>3696</v>
      </c>
      <c r="G1502" s="3" t="s">
        <v>15</v>
      </c>
      <c r="H1502" s="3" t="str">
        <f>"1"</f>
        <v>1</v>
      </c>
      <c r="I1502" s="4" t="str">
        <f>"494"</f>
        <v>494</v>
      </c>
      <c r="J1502" s="2">
        <v>45867</v>
      </c>
      <c r="K1502" s="1" t="s">
        <v>3697</v>
      </c>
    </row>
    <row r="1503" spans="1:11" x14ac:dyDescent="0.35">
      <c r="A1503" s="3" t="s">
        <v>3513</v>
      </c>
      <c r="B1503" s="1" t="s">
        <v>3684</v>
      </c>
      <c r="C1503" s="1" t="s">
        <v>3712</v>
      </c>
      <c r="D1503" s="1" t="str">
        <f>"2590"</f>
        <v>2590</v>
      </c>
      <c r="E1503" s="1" t="str">
        <f>"015990200"</f>
        <v>015990200</v>
      </c>
      <c r="F1503" s="1" t="s">
        <v>3713</v>
      </c>
      <c r="G1503" s="3" t="s">
        <v>15</v>
      </c>
      <c r="H1503" s="3" t="str">
        <f>"1"</f>
        <v>1</v>
      </c>
      <c r="I1503" s="4">
        <v>7127.79</v>
      </c>
      <c r="J1503" s="2">
        <v>45867</v>
      </c>
      <c r="K1503" s="1" t="s">
        <v>3714</v>
      </c>
    </row>
    <row r="1504" spans="1:11" x14ac:dyDescent="0.35">
      <c r="A1504" s="3" t="s">
        <v>3513</v>
      </c>
      <c r="B1504" s="1" t="s">
        <v>3684</v>
      </c>
      <c r="C1504" s="1" t="s">
        <v>3720</v>
      </c>
      <c r="D1504" s="1" t="str">
        <f>"3405"</f>
        <v>3405</v>
      </c>
      <c r="E1504" s="1" t="s">
        <v>3721</v>
      </c>
      <c r="F1504" s="1" t="s">
        <v>3722</v>
      </c>
      <c r="G1504" s="3" t="s">
        <v>15</v>
      </c>
      <c r="H1504" s="3" t="str">
        <f>"2"</f>
        <v>2</v>
      </c>
      <c r="I1504" s="4" t="str">
        <f>"375"</f>
        <v>375</v>
      </c>
      <c r="J1504" s="2">
        <v>45867</v>
      </c>
      <c r="K1504" s="1" t="s">
        <v>3723</v>
      </c>
    </row>
    <row r="1505" spans="1:11" x14ac:dyDescent="0.35">
      <c r="A1505" s="3" t="s">
        <v>3513</v>
      </c>
      <c r="B1505" s="1" t="s">
        <v>3684</v>
      </c>
      <c r="C1505" s="1" t="s">
        <v>3732</v>
      </c>
      <c r="D1505" s="1" t="str">
        <f>"5110"</f>
        <v>5110</v>
      </c>
      <c r="E1505" s="1" t="s">
        <v>3733</v>
      </c>
      <c r="F1505" s="1" t="s">
        <v>3734</v>
      </c>
      <c r="G1505" s="3" t="s">
        <v>15</v>
      </c>
      <c r="H1505" s="3" t="str">
        <f>"140"</f>
        <v>140</v>
      </c>
      <c r="I1505" s="4">
        <v>26.52</v>
      </c>
      <c r="J1505" s="2">
        <v>45867</v>
      </c>
      <c r="K1505" s="1" t="s">
        <v>3735</v>
      </c>
    </row>
    <row r="1506" spans="1:11" x14ac:dyDescent="0.35">
      <c r="A1506" s="3" t="s">
        <v>3513</v>
      </c>
      <c r="B1506" s="1" t="s">
        <v>3684</v>
      </c>
      <c r="C1506" s="1" t="s">
        <v>3736</v>
      </c>
      <c r="D1506" s="1" t="str">
        <f>"5120"</f>
        <v>5120</v>
      </c>
      <c r="E1506" s="1" t="s">
        <v>1132</v>
      </c>
      <c r="F1506" s="1" t="s">
        <v>1133</v>
      </c>
      <c r="G1506" s="3" t="s">
        <v>15</v>
      </c>
      <c r="H1506" s="3" t="str">
        <f>"475"</f>
        <v>475</v>
      </c>
      <c r="I1506" s="4">
        <v>28.32</v>
      </c>
      <c r="J1506" s="2">
        <v>45867</v>
      </c>
      <c r="K1506" s="1" t="s">
        <v>3737</v>
      </c>
    </row>
    <row r="1507" spans="1:11" x14ac:dyDescent="0.35">
      <c r="A1507" s="3" t="s">
        <v>3513</v>
      </c>
      <c r="B1507" s="1" t="s">
        <v>3684</v>
      </c>
      <c r="C1507" s="1" t="s">
        <v>3738</v>
      </c>
      <c r="D1507" s="1" t="str">
        <f>"5120"</f>
        <v>5120</v>
      </c>
      <c r="E1507" s="1" t="s">
        <v>3739</v>
      </c>
      <c r="F1507" s="1" t="s">
        <v>3740</v>
      </c>
      <c r="G1507" s="3" t="s">
        <v>15</v>
      </c>
      <c r="H1507" s="3" t="str">
        <f>"1000"</f>
        <v>1000</v>
      </c>
      <c r="I1507" s="4">
        <v>8.8699999999999992</v>
      </c>
      <c r="J1507" s="2">
        <v>45867</v>
      </c>
      <c r="K1507" s="1" t="s">
        <v>3741</v>
      </c>
    </row>
    <row r="1508" spans="1:11" x14ac:dyDescent="0.35">
      <c r="A1508" s="3" t="s">
        <v>3513</v>
      </c>
      <c r="B1508" s="1" t="s">
        <v>3684</v>
      </c>
      <c r="C1508" s="1" t="s">
        <v>3742</v>
      </c>
      <c r="D1508" s="1" t="str">
        <f>"5120"</f>
        <v>5120</v>
      </c>
      <c r="E1508" s="1" t="s">
        <v>1153</v>
      </c>
      <c r="F1508" s="1" t="s">
        <v>1154</v>
      </c>
      <c r="G1508" s="3" t="s">
        <v>15</v>
      </c>
      <c r="H1508" s="3" t="str">
        <f>"226"</f>
        <v>226</v>
      </c>
      <c r="I1508" s="4">
        <v>25.87</v>
      </c>
      <c r="J1508" s="2">
        <v>45867</v>
      </c>
      <c r="K1508" s="1" t="s">
        <v>3743</v>
      </c>
    </row>
    <row r="1509" spans="1:11" x14ac:dyDescent="0.35">
      <c r="A1509" s="3" t="s">
        <v>3513</v>
      </c>
      <c r="B1509" s="1" t="s">
        <v>3684</v>
      </c>
      <c r="C1509" s="1" t="s">
        <v>3744</v>
      </c>
      <c r="D1509" s="1" t="str">
        <f>"5120"</f>
        <v>5120</v>
      </c>
      <c r="E1509" s="1" t="s">
        <v>1132</v>
      </c>
      <c r="F1509" s="1" t="s">
        <v>1133</v>
      </c>
      <c r="G1509" s="3" t="s">
        <v>15</v>
      </c>
      <c r="H1509" s="3" t="str">
        <f>"289"</f>
        <v>289</v>
      </c>
      <c r="I1509" s="4">
        <v>28.32</v>
      </c>
      <c r="J1509" s="2">
        <v>45867</v>
      </c>
      <c r="K1509" s="1" t="s">
        <v>3737</v>
      </c>
    </row>
    <row r="1510" spans="1:11" x14ac:dyDescent="0.35">
      <c r="A1510" s="3" t="s">
        <v>3513</v>
      </c>
      <c r="B1510" s="1" t="s">
        <v>3684</v>
      </c>
      <c r="C1510" s="1" t="s">
        <v>3745</v>
      </c>
      <c r="D1510" s="1" t="str">
        <f>"5130"</f>
        <v>5130</v>
      </c>
      <c r="E1510" s="1" t="s">
        <v>3746</v>
      </c>
      <c r="F1510" s="1" t="s">
        <v>3747</v>
      </c>
      <c r="G1510" s="3" t="s">
        <v>15</v>
      </c>
      <c r="H1510" s="3" t="str">
        <f>"6"</f>
        <v>6</v>
      </c>
      <c r="I1510" s="4">
        <v>336.14</v>
      </c>
      <c r="J1510" s="2">
        <v>45867</v>
      </c>
      <c r="K1510" s="1" t="s">
        <v>3748</v>
      </c>
    </row>
    <row r="1511" spans="1:11" x14ac:dyDescent="0.35">
      <c r="A1511" s="3" t="s">
        <v>3513</v>
      </c>
      <c r="B1511" s="1" t="s">
        <v>3684</v>
      </c>
      <c r="C1511" s="1" t="s">
        <v>3749</v>
      </c>
      <c r="D1511" s="1" t="str">
        <f>"5130"</f>
        <v>5130</v>
      </c>
      <c r="E1511" s="1" t="s">
        <v>511</v>
      </c>
      <c r="F1511" s="1" t="s">
        <v>512</v>
      </c>
      <c r="G1511" s="3" t="s">
        <v>15</v>
      </c>
      <c r="H1511" s="3" t="str">
        <f>"35"</f>
        <v>35</v>
      </c>
      <c r="I1511" s="4">
        <v>192.74</v>
      </c>
      <c r="J1511" s="2">
        <v>45867</v>
      </c>
      <c r="K1511" s="1" t="s">
        <v>3750</v>
      </c>
    </row>
    <row r="1512" spans="1:11" x14ac:dyDescent="0.35">
      <c r="A1512" s="3" t="s">
        <v>3513</v>
      </c>
      <c r="B1512" s="1" t="s">
        <v>3684</v>
      </c>
      <c r="C1512" s="1" t="s">
        <v>3751</v>
      </c>
      <c r="D1512" s="1" t="str">
        <f>"5180"</f>
        <v>5180</v>
      </c>
      <c r="E1512" s="1" t="str">
        <f>"005961539"</f>
        <v>005961539</v>
      </c>
      <c r="F1512" s="1" t="s">
        <v>165</v>
      </c>
      <c r="G1512" s="3" t="s">
        <v>19</v>
      </c>
      <c r="H1512" s="3" t="str">
        <f>"1"</f>
        <v>1</v>
      </c>
      <c r="I1512" s="4" t="str">
        <f>"5150"</f>
        <v>5150</v>
      </c>
      <c r="J1512" s="2">
        <v>45867</v>
      </c>
      <c r="K1512" s="1" t="s">
        <v>3752</v>
      </c>
    </row>
    <row r="1513" spans="1:11" x14ac:dyDescent="0.35">
      <c r="A1513" s="3" t="s">
        <v>3513</v>
      </c>
      <c r="B1513" s="1" t="s">
        <v>3684</v>
      </c>
      <c r="C1513" s="1" t="s">
        <v>3764</v>
      </c>
      <c r="D1513" s="1" t="str">
        <f>"6515"</f>
        <v>6515</v>
      </c>
      <c r="E1513" s="1" t="s">
        <v>3765</v>
      </c>
      <c r="F1513" s="1" t="s">
        <v>3766</v>
      </c>
      <c r="G1513" s="3" t="s">
        <v>15</v>
      </c>
      <c r="H1513" s="3" t="str">
        <f>"8"</f>
        <v>8</v>
      </c>
      <c r="I1513" s="4">
        <v>324.07</v>
      </c>
      <c r="J1513" s="2">
        <v>45867</v>
      </c>
      <c r="K1513" s="1" t="s">
        <v>3767</v>
      </c>
    </row>
    <row r="1514" spans="1:11" x14ac:dyDescent="0.35">
      <c r="A1514" s="3" t="s">
        <v>3513</v>
      </c>
      <c r="B1514" s="1" t="s">
        <v>3684</v>
      </c>
      <c r="C1514" s="1" t="s">
        <v>3726</v>
      </c>
      <c r="D1514" s="1" t="str">
        <f>"4820"</f>
        <v>4820</v>
      </c>
      <c r="E1514" s="1" t="str">
        <f>"011147543"</f>
        <v>011147543</v>
      </c>
      <c r="F1514" s="1" t="s">
        <v>3727</v>
      </c>
      <c r="G1514" s="3" t="s">
        <v>15</v>
      </c>
      <c r="H1514" s="3" t="str">
        <f>"20"</f>
        <v>20</v>
      </c>
      <c r="I1514" s="4">
        <v>73.430000000000007</v>
      </c>
      <c r="J1514" s="2">
        <v>45864</v>
      </c>
      <c r="K1514" s="1" t="s">
        <v>3728</v>
      </c>
    </row>
    <row r="1515" spans="1:11" x14ac:dyDescent="0.35">
      <c r="A1515" s="3" t="s">
        <v>3513</v>
      </c>
      <c r="B1515" s="1" t="s">
        <v>3684</v>
      </c>
      <c r="C1515" s="1" t="s">
        <v>3753</v>
      </c>
      <c r="D1515" s="1" t="str">
        <f>"5331"</f>
        <v>5331</v>
      </c>
      <c r="E1515" s="1" t="str">
        <f>"013488331"</f>
        <v>013488331</v>
      </c>
      <c r="F1515" s="1" t="s">
        <v>3754</v>
      </c>
      <c r="G1515" s="3" t="s">
        <v>15</v>
      </c>
      <c r="H1515" s="3" t="str">
        <f>"150"</f>
        <v>150</v>
      </c>
      <c r="I1515" s="4">
        <v>15.11</v>
      </c>
      <c r="J1515" s="2">
        <v>45864</v>
      </c>
      <c r="K1515" s="1" t="s">
        <v>3755</v>
      </c>
    </row>
    <row r="1516" spans="1:11" x14ac:dyDescent="0.35">
      <c r="A1516" s="3" t="s">
        <v>3513</v>
      </c>
      <c r="B1516" s="1" t="s">
        <v>3514</v>
      </c>
      <c r="C1516" s="1" t="s">
        <v>3539</v>
      </c>
      <c r="D1516" s="1" t="str">
        <f>"4210"</f>
        <v>4210</v>
      </c>
      <c r="E1516" s="1" t="str">
        <f>"013242734"</f>
        <v>013242734</v>
      </c>
      <c r="F1516" s="1" t="s">
        <v>3540</v>
      </c>
      <c r="G1516" s="3" t="s">
        <v>15</v>
      </c>
      <c r="H1516" s="3" t="str">
        <f>"6"</f>
        <v>6</v>
      </c>
      <c r="I1516" s="4">
        <v>82.79</v>
      </c>
      <c r="J1516" s="2">
        <v>45854</v>
      </c>
      <c r="K1516" s="1" t="s">
        <v>3541</v>
      </c>
    </row>
    <row r="1517" spans="1:11" x14ac:dyDescent="0.35">
      <c r="A1517" s="3" t="s">
        <v>3513</v>
      </c>
      <c r="B1517" s="1" t="s">
        <v>3514</v>
      </c>
      <c r="C1517" s="1" t="s">
        <v>3545</v>
      </c>
      <c r="D1517" s="1" t="str">
        <f>"4910"</f>
        <v>4910</v>
      </c>
      <c r="E1517" s="1" t="str">
        <f>"010382820"</f>
        <v>010382820</v>
      </c>
      <c r="F1517" s="1" t="s">
        <v>3546</v>
      </c>
      <c r="G1517" s="3" t="s">
        <v>15</v>
      </c>
      <c r="H1517" s="3" t="str">
        <f>"2"</f>
        <v>2</v>
      </c>
      <c r="I1517" s="4">
        <v>563.21</v>
      </c>
      <c r="J1517" s="2">
        <v>45854</v>
      </c>
      <c r="K1517" s="1" t="s">
        <v>3547</v>
      </c>
    </row>
    <row r="1518" spans="1:11" x14ac:dyDescent="0.35">
      <c r="A1518" s="3" t="s">
        <v>3513</v>
      </c>
      <c r="B1518" s="1" t="s">
        <v>3514</v>
      </c>
      <c r="C1518" s="1" t="s">
        <v>3586</v>
      </c>
      <c r="D1518" s="1" t="str">
        <f>"5440"</f>
        <v>5440</v>
      </c>
      <c r="E1518" s="1" t="str">
        <f>"015602304"</f>
        <v>015602304</v>
      </c>
      <c r="F1518" s="1" t="s">
        <v>3587</v>
      </c>
      <c r="G1518" s="3" t="s">
        <v>15</v>
      </c>
      <c r="H1518" s="3" t="str">
        <f>"1"</f>
        <v>1</v>
      </c>
      <c r="I1518" s="4">
        <v>1924.65</v>
      </c>
      <c r="J1518" s="2">
        <v>45854</v>
      </c>
      <c r="K1518" s="1" t="s">
        <v>3588</v>
      </c>
    </row>
    <row r="1519" spans="1:11" x14ac:dyDescent="0.35">
      <c r="A1519" s="3" t="s">
        <v>3513</v>
      </c>
      <c r="B1519" s="1" t="s">
        <v>3514</v>
      </c>
      <c r="C1519" s="1" t="s">
        <v>3591</v>
      </c>
      <c r="D1519" s="1" t="str">
        <f>"6310"</f>
        <v>6310</v>
      </c>
      <c r="E1519" s="1" t="s">
        <v>1860</v>
      </c>
      <c r="F1519" s="1" t="s">
        <v>1861</v>
      </c>
      <c r="G1519" s="3" t="s">
        <v>15</v>
      </c>
      <c r="H1519" s="3" t="str">
        <f>"1"</f>
        <v>1</v>
      </c>
      <c r="I1519" s="4" t="str">
        <f>"11287"</f>
        <v>11287</v>
      </c>
      <c r="J1519" s="2">
        <v>45854</v>
      </c>
      <c r="K1519" s="1" t="s">
        <v>3592</v>
      </c>
    </row>
    <row r="1520" spans="1:11" x14ac:dyDescent="0.35">
      <c r="A1520" s="3" t="s">
        <v>3513</v>
      </c>
      <c r="B1520" s="1" t="s">
        <v>3514</v>
      </c>
      <c r="C1520" s="1" t="s">
        <v>3606</v>
      </c>
      <c r="D1520" s="1" t="str">
        <f>"7240"</f>
        <v>7240</v>
      </c>
      <c r="E1520" s="1" t="str">
        <f>"005597364"</f>
        <v>005597364</v>
      </c>
      <c r="F1520" s="1" t="s">
        <v>3607</v>
      </c>
      <c r="G1520" s="3" t="s">
        <v>15</v>
      </c>
      <c r="H1520" s="3" t="str">
        <f>"2"</f>
        <v>2</v>
      </c>
      <c r="I1520" s="4">
        <v>7.28</v>
      </c>
      <c r="J1520" s="2">
        <v>45854</v>
      </c>
      <c r="K1520" s="1" t="s">
        <v>3608</v>
      </c>
    </row>
    <row r="1521" spans="1:11" x14ac:dyDescent="0.35">
      <c r="A1521" s="3" t="s">
        <v>3513</v>
      </c>
      <c r="B1521" s="1" t="s">
        <v>3514</v>
      </c>
      <c r="C1521" s="1" t="s">
        <v>3634</v>
      </c>
      <c r="D1521" s="1" t="str">
        <f>"9905"</f>
        <v>9905</v>
      </c>
      <c r="E1521" s="1" t="str">
        <f>"001489546"</f>
        <v>001489546</v>
      </c>
      <c r="F1521" s="1" t="s">
        <v>3635</v>
      </c>
      <c r="G1521" s="3" t="s">
        <v>58</v>
      </c>
      <c r="H1521" s="3" t="str">
        <f>"6"</f>
        <v>6</v>
      </c>
      <c r="I1521" s="4">
        <v>17.600000000000001</v>
      </c>
      <c r="J1521" s="2">
        <v>45854</v>
      </c>
      <c r="K1521" s="1" t="s">
        <v>3636</v>
      </c>
    </row>
    <row r="1522" spans="1:11" x14ac:dyDescent="0.35">
      <c r="A1522" s="3" t="s">
        <v>3513</v>
      </c>
      <c r="B1522" s="1" t="s">
        <v>3849</v>
      </c>
      <c r="C1522" s="1" t="s">
        <v>3850</v>
      </c>
      <c r="D1522" s="1" t="str">
        <f>"6220"</f>
        <v>6220</v>
      </c>
      <c r="E1522" s="1" t="str">
        <f>"013907341"</f>
        <v>013907341</v>
      </c>
      <c r="F1522" s="1" t="s">
        <v>3406</v>
      </c>
      <c r="G1522" s="3" t="s">
        <v>15</v>
      </c>
      <c r="H1522" s="3" t="str">
        <f>"1"</f>
        <v>1</v>
      </c>
      <c r="I1522" s="4">
        <v>247.67</v>
      </c>
      <c r="J1522" s="2">
        <v>45853</v>
      </c>
      <c r="K1522" s="1" t="s">
        <v>3851</v>
      </c>
    </row>
    <row r="1523" spans="1:11" x14ac:dyDescent="0.35">
      <c r="A1523" s="3" t="s">
        <v>3513</v>
      </c>
      <c r="B1523" s="1" t="s">
        <v>3849</v>
      </c>
      <c r="C1523" s="1" t="s">
        <v>3852</v>
      </c>
      <c r="D1523" s="1" t="str">
        <f>"7025"</f>
        <v>7025</v>
      </c>
      <c r="E1523" s="1" t="s">
        <v>3853</v>
      </c>
      <c r="F1523" s="1" t="s">
        <v>3854</v>
      </c>
      <c r="G1523" s="3" t="s">
        <v>15</v>
      </c>
      <c r="H1523" s="3" t="str">
        <f>"2"</f>
        <v>2</v>
      </c>
      <c r="I1523" s="4" t="str">
        <f>"360"</f>
        <v>360</v>
      </c>
      <c r="J1523" s="2">
        <v>45853</v>
      </c>
      <c r="K1523" s="1" t="s">
        <v>3855</v>
      </c>
    </row>
    <row r="1524" spans="1:11" x14ac:dyDescent="0.35">
      <c r="A1524" s="3" t="s">
        <v>3513</v>
      </c>
      <c r="B1524" s="1" t="s">
        <v>3849</v>
      </c>
      <c r="C1524" s="1" t="s">
        <v>3856</v>
      </c>
      <c r="D1524" s="1" t="str">
        <f>"7035"</f>
        <v>7035</v>
      </c>
      <c r="E1524" s="1" t="s">
        <v>3836</v>
      </c>
      <c r="F1524" s="1" t="s">
        <v>3837</v>
      </c>
      <c r="G1524" s="3" t="s">
        <v>15</v>
      </c>
      <c r="H1524" s="3" t="str">
        <f>"1"</f>
        <v>1</v>
      </c>
      <c r="I1524" s="4" t="str">
        <f>"1262"</f>
        <v>1262</v>
      </c>
      <c r="J1524" s="2">
        <v>45853</v>
      </c>
      <c r="K1524" s="1" t="s">
        <v>3857</v>
      </c>
    </row>
    <row r="1525" spans="1:11" x14ac:dyDescent="0.35">
      <c r="A1525" s="3" t="s">
        <v>3513</v>
      </c>
      <c r="B1525" s="1" t="s">
        <v>3849</v>
      </c>
      <c r="C1525" s="1" t="s">
        <v>3858</v>
      </c>
      <c r="D1525" s="1" t="str">
        <f>"7830"</f>
        <v>7830</v>
      </c>
      <c r="E1525" s="1" t="s">
        <v>3859</v>
      </c>
      <c r="F1525" s="1" t="s">
        <v>3860</v>
      </c>
      <c r="G1525" s="3" t="s">
        <v>15</v>
      </c>
      <c r="H1525" s="3" t="str">
        <f>"2"</f>
        <v>2</v>
      </c>
      <c r="I1525" s="4" t="str">
        <f>"250"</f>
        <v>250</v>
      </c>
      <c r="J1525" s="2">
        <v>45853</v>
      </c>
      <c r="K1525" s="1" t="s">
        <v>3861</v>
      </c>
    </row>
    <row r="1526" spans="1:11" x14ac:dyDescent="0.35">
      <c r="A1526" s="3" t="s">
        <v>3513</v>
      </c>
      <c r="B1526" s="1" t="s">
        <v>3801</v>
      </c>
      <c r="C1526" s="1" t="s">
        <v>3802</v>
      </c>
      <c r="D1526" s="1" t="str">
        <f>"1080"</f>
        <v>1080</v>
      </c>
      <c r="E1526" s="1" t="str">
        <f>"014750696"</f>
        <v>014750696</v>
      </c>
      <c r="F1526" s="1" t="s">
        <v>3803</v>
      </c>
      <c r="G1526" s="3" t="s">
        <v>15</v>
      </c>
      <c r="H1526" s="3" t="str">
        <f>"4"</f>
        <v>4</v>
      </c>
      <c r="I1526" s="4" t="str">
        <f>"1157"</f>
        <v>1157</v>
      </c>
      <c r="J1526" s="2">
        <v>45852</v>
      </c>
      <c r="K1526" s="1" t="s">
        <v>3804</v>
      </c>
    </row>
    <row r="1527" spans="1:11" x14ac:dyDescent="0.35">
      <c r="A1527" s="3" t="s">
        <v>3513</v>
      </c>
      <c r="B1527" s="1" t="s">
        <v>3801</v>
      </c>
      <c r="C1527" s="1" t="s">
        <v>3807</v>
      </c>
      <c r="D1527" s="1" t="str">
        <f>"5820"</f>
        <v>5820</v>
      </c>
      <c r="E1527" s="1" t="str">
        <f>"015496407"</f>
        <v>015496407</v>
      </c>
      <c r="F1527" s="1" t="s">
        <v>3808</v>
      </c>
      <c r="G1527" s="3" t="s">
        <v>15</v>
      </c>
      <c r="H1527" s="3" t="str">
        <f>"5"</f>
        <v>5</v>
      </c>
      <c r="I1527" s="4">
        <v>2446.1999999999998</v>
      </c>
      <c r="J1527" s="2">
        <v>45852</v>
      </c>
      <c r="K1527" s="1" t="s">
        <v>3809</v>
      </c>
    </row>
    <row r="1528" spans="1:11" x14ac:dyDescent="0.35">
      <c r="A1528" s="3" t="s">
        <v>3513</v>
      </c>
      <c r="B1528" s="1" t="s">
        <v>3801</v>
      </c>
      <c r="C1528" s="1" t="s">
        <v>3810</v>
      </c>
      <c r="D1528" s="1" t="str">
        <f>"5820"</f>
        <v>5820</v>
      </c>
      <c r="E1528" s="1" t="str">
        <f>"015760021"</f>
        <v>015760021</v>
      </c>
      <c r="F1528" s="1" t="s">
        <v>3811</v>
      </c>
      <c r="G1528" s="3" t="s">
        <v>15</v>
      </c>
      <c r="H1528" s="3" t="str">
        <f>"2"</f>
        <v>2</v>
      </c>
      <c r="I1528" s="4" t="str">
        <f>"5114"</f>
        <v>5114</v>
      </c>
      <c r="J1528" s="2">
        <v>45852</v>
      </c>
      <c r="K1528" s="1" t="s">
        <v>3812</v>
      </c>
    </row>
    <row r="1529" spans="1:11" x14ac:dyDescent="0.35">
      <c r="A1529" s="3" t="s">
        <v>3513</v>
      </c>
      <c r="B1529" s="1" t="s">
        <v>3801</v>
      </c>
      <c r="C1529" s="1" t="s">
        <v>3813</v>
      </c>
      <c r="D1529" s="1" t="str">
        <f>"5820"</f>
        <v>5820</v>
      </c>
      <c r="E1529" s="1" t="str">
        <f>"015760021"</f>
        <v>015760021</v>
      </c>
      <c r="F1529" s="1" t="s">
        <v>3811</v>
      </c>
      <c r="G1529" s="3" t="s">
        <v>15</v>
      </c>
      <c r="H1529" s="3" t="str">
        <f>"4"</f>
        <v>4</v>
      </c>
      <c r="I1529" s="4" t="str">
        <f>"5114"</f>
        <v>5114</v>
      </c>
      <c r="J1529" s="2">
        <v>45852</v>
      </c>
      <c r="K1529" s="1" t="s">
        <v>3812</v>
      </c>
    </row>
    <row r="1530" spans="1:11" x14ac:dyDescent="0.35">
      <c r="A1530" s="3" t="s">
        <v>3513</v>
      </c>
      <c r="B1530" s="1" t="s">
        <v>3801</v>
      </c>
      <c r="C1530" s="1" t="s">
        <v>3822</v>
      </c>
      <c r="D1530" s="1" t="str">
        <f>"6650"</f>
        <v>6650</v>
      </c>
      <c r="E1530" s="1" t="s">
        <v>3823</v>
      </c>
      <c r="F1530" s="1" t="s">
        <v>3824</v>
      </c>
      <c r="G1530" s="3" t="s">
        <v>15</v>
      </c>
      <c r="H1530" s="3" t="str">
        <f>"7"</f>
        <v>7</v>
      </c>
      <c r="I1530" s="4" t="str">
        <f>"99"</f>
        <v>99</v>
      </c>
      <c r="J1530" s="2">
        <v>45852</v>
      </c>
      <c r="K1530" s="1" t="s">
        <v>3825</v>
      </c>
    </row>
    <row r="1531" spans="1:11" x14ac:dyDescent="0.35">
      <c r="A1531" s="3" t="s">
        <v>3513</v>
      </c>
      <c r="B1531" s="1" t="s">
        <v>3801</v>
      </c>
      <c r="C1531" s="1" t="s">
        <v>3826</v>
      </c>
      <c r="D1531" s="1" t="str">
        <f>"7021"</f>
        <v>7021</v>
      </c>
      <c r="E1531" s="1" t="str">
        <f>"016164932"</f>
        <v>016164932</v>
      </c>
      <c r="F1531" s="1" t="s">
        <v>3827</v>
      </c>
      <c r="G1531" s="3" t="s">
        <v>15</v>
      </c>
      <c r="H1531" s="3" t="str">
        <f>"12"</f>
        <v>12</v>
      </c>
      <c r="I1531" s="4">
        <v>2283.9</v>
      </c>
      <c r="J1531" s="2">
        <v>45852</v>
      </c>
      <c r="K1531" s="1" t="s">
        <v>3828</v>
      </c>
    </row>
    <row r="1532" spans="1:11" x14ac:dyDescent="0.35">
      <c r="A1532" s="3" t="s">
        <v>3513</v>
      </c>
      <c r="B1532" s="1" t="s">
        <v>3514</v>
      </c>
      <c r="C1532" s="1" t="s">
        <v>3517</v>
      </c>
      <c r="D1532" s="1" t="str">
        <f>"1095"</f>
        <v>1095</v>
      </c>
      <c r="E1532" s="1" t="s">
        <v>3518</v>
      </c>
      <c r="F1532" s="1" t="s">
        <v>3519</v>
      </c>
      <c r="G1532" s="3" t="s">
        <v>15</v>
      </c>
      <c r="H1532" s="3" t="str">
        <f>"7"</f>
        <v>7</v>
      </c>
      <c r="I1532" s="4">
        <v>86.98</v>
      </c>
      <c r="J1532" s="2">
        <v>45848</v>
      </c>
      <c r="K1532" s="1" t="s">
        <v>3520</v>
      </c>
    </row>
    <row r="1533" spans="1:11" x14ac:dyDescent="0.35">
      <c r="A1533" s="3" t="s">
        <v>3513</v>
      </c>
      <c r="B1533" s="1" t="s">
        <v>3514</v>
      </c>
      <c r="C1533" s="1" t="s">
        <v>3596</v>
      </c>
      <c r="D1533" s="1" t="str">
        <f>"7045"</f>
        <v>7045</v>
      </c>
      <c r="E1533" s="1" t="str">
        <f>"014907254"</f>
        <v>014907254</v>
      </c>
      <c r="F1533" s="1" t="s">
        <v>3597</v>
      </c>
      <c r="G1533" s="3" t="s">
        <v>15</v>
      </c>
      <c r="H1533" s="3" t="str">
        <f>"7"</f>
        <v>7</v>
      </c>
      <c r="I1533" s="4">
        <v>22.87</v>
      </c>
      <c r="J1533" s="2">
        <v>45848</v>
      </c>
      <c r="K1533" s="1" t="s">
        <v>3598</v>
      </c>
    </row>
    <row r="1534" spans="1:11" x14ac:dyDescent="0.35">
      <c r="A1534" s="3" t="s">
        <v>3513</v>
      </c>
      <c r="B1534" s="1" t="s">
        <v>3514</v>
      </c>
      <c r="C1534" s="1" t="s">
        <v>3599</v>
      </c>
      <c r="D1534" s="1" t="str">
        <f>"7110"</f>
        <v>7110</v>
      </c>
      <c r="E1534" s="1" t="str">
        <f>"002671999"</f>
        <v>002671999</v>
      </c>
      <c r="F1534" s="1" t="s">
        <v>3600</v>
      </c>
      <c r="G1534" s="3" t="s">
        <v>15</v>
      </c>
      <c r="H1534" s="3" t="str">
        <f>"1"</f>
        <v>1</v>
      </c>
      <c r="I1534" s="4">
        <v>946.12</v>
      </c>
      <c r="J1534" s="2">
        <v>45848</v>
      </c>
      <c r="K1534" s="1" t="s">
        <v>3601</v>
      </c>
    </row>
    <row r="1535" spans="1:11" x14ac:dyDescent="0.35">
      <c r="A1535" s="3" t="s">
        <v>3513</v>
      </c>
      <c r="B1535" s="1" t="s">
        <v>3514</v>
      </c>
      <c r="C1535" s="1" t="s">
        <v>3613</v>
      </c>
      <c r="D1535" s="1" t="str">
        <f>"7920"</f>
        <v>7920</v>
      </c>
      <c r="E1535" s="1" t="str">
        <f>"009265245"</f>
        <v>009265245</v>
      </c>
      <c r="F1535" s="1" t="s">
        <v>3614</v>
      </c>
      <c r="G1535" s="3" t="s">
        <v>15</v>
      </c>
      <c r="H1535" s="3" t="str">
        <f>"1"</f>
        <v>1</v>
      </c>
      <c r="I1535" s="4">
        <v>188.6</v>
      </c>
      <c r="J1535" s="2">
        <v>45848</v>
      </c>
      <c r="K1535" s="1" t="s">
        <v>3615</v>
      </c>
    </row>
    <row r="1536" spans="1:11" x14ac:dyDescent="0.35">
      <c r="A1536" s="3" t="s">
        <v>3513</v>
      </c>
      <c r="B1536" s="1" t="s">
        <v>3782</v>
      </c>
      <c r="C1536" s="1" t="s">
        <v>3783</v>
      </c>
      <c r="D1536" s="1" t="str">
        <f>"2320"</f>
        <v>2320</v>
      </c>
      <c r="E1536" s="1" t="s">
        <v>274</v>
      </c>
      <c r="F1536" s="1" t="s">
        <v>275</v>
      </c>
      <c r="G1536" s="3" t="s">
        <v>15</v>
      </c>
      <c r="H1536" s="3" t="str">
        <f>"1"</f>
        <v>1</v>
      </c>
      <c r="I1536" s="4" t="str">
        <f>"10000"</f>
        <v>10000</v>
      </c>
      <c r="J1536" s="2">
        <v>45848</v>
      </c>
      <c r="K1536" s="1" t="s">
        <v>3784</v>
      </c>
    </row>
    <row r="1537" spans="1:11" x14ac:dyDescent="0.35">
      <c r="A1537" s="3" t="s">
        <v>3513</v>
      </c>
      <c r="B1537" s="1" t="s">
        <v>3782</v>
      </c>
      <c r="C1537" s="1" t="s">
        <v>3785</v>
      </c>
      <c r="D1537" s="1" t="str">
        <f>"2340"</f>
        <v>2340</v>
      </c>
      <c r="E1537" s="1" t="s">
        <v>2003</v>
      </c>
      <c r="F1537" s="1" t="s">
        <v>2004</v>
      </c>
      <c r="G1537" s="3" t="s">
        <v>15</v>
      </c>
      <c r="H1537" s="3" t="str">
        <f>"1"</f>
        <v>1</v>
      </c>
      <c r="I1537" s="4" t="str">
        <f>"6000"</f>
        <v>6000</v>
      </c>
      <c r="J1537" s="2">
        <v>45848</v>
      </c>
      <c r="K1537" s="1" t="s">
        <v>3786</v>
      </c>
    </row>
    <row r="1538" spans="1:11" x14ac:dyDescent="0.35">
      <c r="A1538" s="3" t="s">
        <v>3513</v>
      </c>
      <c r="B1538" s="1" t="s">
        <v>3865</v>
      </c>
      <c r="C1538" s="1" t="s">
        <v>3870</v>
      </c>
      <c r="D1538" s="1" t="str">
        <f>"2330"</f>
        <v>2330</v>
      </c>
      <c r="E1538" s="1" t="s">
        <v>70</v>
      </c>
      <c r="F1538" s="1" t="s">
        <v>71</v>
      </c>
      <c r="G1538" s="3" t="s">
        <v>15</v>
      </c>
      <c r="H1538" s="3" t="str">
        <f>"1"</f>
        <v>1</v>
      </c>
      <c r="I1538" s="4" t="str">
        <f>"8000"</f>
        <v>8000</v>
      </c>
      <c r="J1538" s="2">
        <v>45847</v>
      </c>
      <c r="K1538" s="1" t="s">
        <v>3871</v>
      </c>
    </row>
    <row r="1539" spans="1:11" x14ac:dyDescent="0.35">
      <c r="A1539" s="3" t="s">
        <v>3513</v>
      </c>
      <c r="B1539" s="1" t="s">
        <v>3684</v>
      </c>
      <c r="C1539" s="1" t="s">
        <v>3724</v>
      </c>
      <c r="D1539" s="1" t="str">
        <f>"3990"</f>
        <v>3990</v>
      </c>
      <c r="E1539" s="1" t="s">
        <v>154</v>
      </c>
      <c r="F1539" s="1" t="s">
        <v>155</v>
      </c>
      <c r="G1539" s="3" t="s">
        <v>15</v>
      </c>
      <c r="H1539" s="3" t="str">
        <f>"1"</f>
        <v>1</v>
      </c>
      <c r="I1539" s="4" t="str">
        <f>"895"</f>
        <v>895</v>
      </c>
      <c r="J1539" s="2">
        <v>45846</v>
      </c>
      <c r="K1539" s="1" t="s">
        <v>3725</v>
      </c>
    </row>
    <row r="1540" spans="1:11" x14ac:dyDescent="0.35">
      <c r="A1540" s="3" t="s">
        <v>3513</v>
      </c>
      <c r="B1540" s="1" t="s">
        <v>3684</v>
      </c>
      <c r="C1540" s="1" t="s">
        <v>3768</v>
      </c>
      <c r="D1540" s="1" t="str">
        <f>"7045"</f>
        <v>7045</v>
      </c>
      <c r="E1540" s="1" t="str">
        <f>"014907254"</f>
        <v>014907254</v>
      </c>
      <c r="F1540" s="1" t="s">
        <v>3597</v>
      </c>
      <c r="G1540" s="3" t="s">
        <v>15</v>
      </c>
      <c r="H1540" s="3" t="str">
        <f>"374"</f>
        <v>374</v>
      </c>
      <c r="I1540" s="4">
        <v>22.87</v>
      </c>
      <c r="J1540" s="2">
        <v>45846</v>
      </c>
      <c r="K1540" s="1" t="s">
        <v>3769</v>
      </c>
    </row>
    <row r="1541" spans="1:11" x14ac:dyDescent="0.35">
      <c r="A1541" s="3" t="s">
        <v>3513</v>
      </c>
      <c r="B1541" s="1" t="s">
        <v>3874</v>
      </c>
      <c r="C1541" s="1" t="s">
        <v>3875</v>
      </c>
      <c r="D1541" s="1" t="str">
        <f>"2320"</f>
        <v>2320</v>
      </c>
      <c r="E1541" s="1" t="str">
        <f>"004900857"</f>
        <v>004900857</v>
      </c>
      <c r="F1541" s="1" t="s">
        <v>3427</v>
      </c>
      <c r="G1541" s="3" t="s">
        <v>15</v>
      </c>
      <c r="H1541" s="3" t="str">
        <f>"1"</f>
        <v>1</v>
      </c>
      <c r="I1541" s="4" t="str">
        <f>"74753"</f>
        <v>74753</v>
      </c>
      <c r="J1541" s="2">
        <v>45846</v>
      </c>
      <c r="K1541" s="1" t="s">
        <v>3876</v>
      </c>
    </row>
    <row r="1542" spans="1:11" x14ac:dyDescent="0.35">
      <c r="A1542" s="3" t="s">
        <v>3513</v>
      </c>
      <c r="B1542" s="1" t="s">
        <v>3651</v>
      </c>
      <c r="C1542" s="1" t="s">
        <v>3656</v>
      </c>
      <c r="D1542" s="1" t="str">
        <f>"5855"</f>
        <v>5855</v>
      </c>
      <c r="E1542" s="1" t="str">
        <f>"014493696"</f>
        <v>014493696</v>
      </c>
      <c r="F1542" s="1" t="s">
        <v>3657</v>
      </c>
      <c r="G1542" s="3" t="s">
        <v>15</v>
      </c>
      <c r="H1542" s="3" t="str">
        <f>"6"</f>
        <v>6</v>
      </c>
      <c r="I1542" s="4">
        <v>836.13</v>
      </c>
      <c r="J1542" s="2">
        <v>45840</v>
      </c>
      <c r="K1542" s="1" t="s">
        <v>3658</v>
      </c>
    </row>
    <row r="1543" spans="1:11" x14ac:dyDescent="0.35">
      <c r="A1543" s="3" t="s">
        <v>3513</v>
      </c>
      <c r="B1543" s="1" t="s">
        <v>3684</v>
      </c>
      <c r="C1543" s="1" t="s">
        <v>3698</v>
      </c>
      <c r="D1543" s="1" t="str">
        <f>"2530"</f>
        <v>2530</v>
      </c>
      <c r="E1543" s="1" t="str">
        <f>"014784230"</f>
        <v>014784230</v>
      </c>
      <c r="F1543" s="1" t="s">
        <v>3699</v>
      </c>
      <c r="G1543" s="3" t="s">
        <v>15</v>
      </c>
      <c r="H1543" s="3" t="str">
        <f>"1"</f>
        <v>1</v>
      </c>
      <c r="I1543" s="4">
        <v>99.53</v>
      </c>
      <c r="J1543" s="2">
        <v>45840</v>
      </c>
      <c r="K1543" s="1" t="s">
        <v>3700</v>
      </c>
    </row>
    <row r="1544" spans="1:11" x14ac:dyDescent="0.35">
      <c r="A1544" s="3" t="s">
        <v>3513</v>
      </c>
      <c r="B1544" s="1" t="s">
        <v>3684</v>
      </c>
      <c r="C1544" s="1" t="s">
        <v>3706</v>
      </c>
      <c r="D1544" s="1" t="str">
        <f>"2540"</f>
        <v>2540</v>
      </c>
      <c r="E1544" s="1" t="str">
        <f>"006930603"</f>
        <v>006930603</v>
      </c>
      <c r="F1544" s="1" t="s">
        <v>3707</v>
      </c>
      <c r="G1544" s="3" t="s">
        <v>15</v>
      </c>
      <c r="H1544" s="3" t="str">
        <f>"1"</f>
        <v>1</v>
      </c>
      <c r="I1544" s="4">
        <v>99.63</v>
      </c>
      <c r="J1544" s="2">
        <v>45840</v>
      </c>
      <c r="K1544" s="1" t="s">
        <v>3708</v>
      </c>
    </row>
    <row r="1545" spans="1:11" x14ac:dyDescent="0.35">
      <c r="A1545" s="3" t="s">
        <v>3513</v>
      </c>
      <c r="B1545" s="1" t="s">
        <v>3684</v>
      </c>
      <c r="C1545" s="1" t="s">
        <v>3709</v>
      </c>
      <c r="D1545" s="1" t="str">
        <f>"2540"</f>
        <v>2540</v>
      </c>
      <c r="E1545" s="1" t="str">
        <f>"011654677"</f>
        <v>011654677</v>
      </c>
      <c r="F1545" s="1" t="s">
        <v>3710</v>
      </c>
      <c r="G1545" s="3" t="s">
        <v>15</v>
      </c>
      <c r="H1545" s="3" t="str">
        <f>"4"</f>
        <v>4</v>
      </c>
      <c r="I1545" s="4">
        <v>21.87</v>
      </c>
      <c r="J1545" s="2">
        <v>45840</v>
      </c>
      <c r="K1545" s="1" t="s">
        <v>3711</v>
      </c>
    </row>
    <row r="1546" spans="1:11" x14ac:dyDescent="0.35">
      <c r="A1546" s="3" t="s">
        <v>3513</v>
      </c>
      <c r="B1546" s="1" t="s">
        <v>3684</v>
      </c>
      <c r="C1546" s="1" t="s">
        <v>3715</v>
      </c>
      <c r="D1546" s="1" t="str">
        <f>"2920"</f>
        <v>2920</v>
      </c>
      <c r="E1546" s="1" t="str">
        <f>"009092483"</f>
        <v>009092483</v>
      </c>
      <c r="F1546" s="1" t="s">
        <v>3716</v>
      </c>
      <c r="G1546" s="3" t="s">
        <v>15</v>
      </c>
      <c r="H1546" s="3" t="str">
        <f>"3"</f>
        <v>3</v>
      </c>
      <c r="I1546" s="4">
        <v>1125.9000000000001</v>
      </c>
      <c r="J1546" s="2">
        <v>45840</v>
      </c>
      <c r="K1546" s="1" t="s">
        <v>3717</v>
      </c>
    </row>
    <row r="1547" spans="1:11" x14ac:dyDescent="0.35">
      <c r="A1547" s="3" t="s">
        <v>3513</v>
      </c>
      <c r="B1547" s="1" t="s">
        <v>3684</v>
      </c>
      <c r="C1547" s="1" t="s">
        <v>3718</v>
      </c>
      <c r="D1547" s="1" t="str">
        <f>"2920"</f>
        <v>2920</v>
      </c>
      <c r="E1547" s="1" t="str">
        <f>"009092483"</f>
        <v>009092483</v>
      </c>
      <c r="F1547" s="1" t="s">
        <v>3716</v>
      </c>
      <c r="G1547" s="3" t="s">
        <v>15</v>
      </c>
      <c r="H1547" s="3" t="str">
        <f>"3"</f>
        <v>3</v>
      </c>
      <c r="I1547" s="4">
        <v>1125.9000000000001</v>
      </c>
      <c r="J1547" s="2">
        <v>45840</v>
      </c>
      <c r="K1547" s="1" t="s">
        <v>3719</v>
      </c>
    </row>
    <row r="1548" spans="1:11" x14ac:dyDescent="0.35">
      <c r="A1548" s="3" t="s">
        <v>3513</v>
      </c>
      <c r="B1548" s="1" t="s">
        <v>3684</v>
      </c>
      <c r="C1548" s="1" t="s">
        <v>3756</v>
      </c>
      <c r="D1548" s="1" t="str">
        <f>"5975"</f>
        <v>5975</v>
      </c>
      <c r="E1548" s="1" t="str">
        <f>"014814977"</f>
        <v>014814977</v>
      </c>
      <c r="F1548" s="1" t="s">
        <v>3757</v>
      </c>
      <c r="G1548" s="3" t="s">
        <v>1084</v>
      </c>
      <c r="H1548" s="3" t="str">
        <f>"242"</f>
        <v>242</v>
      </c>
      <c r="I1548" s="4">
        <v>7.06</v>
      </c>
      <c r="J1548" s="2">
        <v>45840</v>
      </c>
      <c r="K1548" s="1" t="s">
        <v>3758</v>
      </c>
    </row>
    <row r="1549" spans="1:11" x14ac:dyDescent="0.35">
      <c r="A1549" s="3" t="s">
        <v>3513</v>
      </c>
      <c r="B1549" s="1" t="s">
        <v>3684</v>
      </c>
      <c r="C1549" s="1" t="s">
        <v>3759</v>
      </c>
      <c r="D1549" s="1" t="str">
        <f>"6260"</f>
        <v>6260</v>
      </c>
      <c r="E1549" s="1" t="str">
        <f>"011785559"</f>
        <v>011785559</v>
      </c>
      <c r="F1549" s="1" t="s">
        <v>657</v>
      </c>
      <c r="G1549" s="3" t="s">
        <v>290</v>
      </c>
      <c r="H1549" s="3" t="str">
        <f>"11"</f>
        <v>11</v>
      </c>
      <c r="I1549" s="4">
        <v>28.94</v>
      </c>
      <c r="J1549" s="2">
        <v>45840</v>
      </c>
      <c r="K1549" s="1" t="s">
        <v>3760</v>
      </c>
    </row>
    <row r="1550" spans="1:11" x14ac:dyDescent="0.35">
      <c r="A1550" s="3" t="s">
        <v>3513</v>
      </c>
      <c r="B1550" s="1" t="s">
        <v>3846</v>
      </c>
      <c r="C1550" s="1" t="s">
        <v>3847</v>
      </c>
      <c r="D1550" s="1" t="str">
        <f>"3930"</f>
        <v>3930</v>
      </c>
      <c r="E1550" s="1" t="s">
        <v>150</v>
      </c>
      <c r="F1550" s="1" t="s">
        <v>151</v>
      </c>
      <c r="G1550" s="3" t="s">
        <v>15</v>
      </c>
      <c r="H1550" s="3" t="str">
        <f>"1"</f>
        <v>1</v>
      </c>
      <c r="I1550" s="4" t="str">
        <f>"71000"</f>
        <v>71000</v>
      </c>
      <c r="J1550" s="2">
        <v>45840</v>
      </c>
      <c r="K1550" s="1" t="s">
        <v>3848</v>
      </c>
    </row>
    <row r="1551" spans="1:11" x14ac:dyDescent="0.35">
      <c r="A1551" s="3" t="s">
        <v>3879</v>
      </c>
      <c r="B1551" s="1" t="s">
        <v>3880</v>
      </c>
      <c r="C1551" s="1" t="s">
        <v>3883</v>
      </c>
      <c r="D1551" s="1" t="str">
        <f>"5855"</f>
        <v>5855</v>
      </c>
      <c r="E1551" s="1" t="str">
        <f>"015847217"</f>
        <v>015847217</v>
      </c>
      <c r="F1551" s="1" t="s">
        <v>1942</v>
      </c>
      <c r="G1551" s="3" t="s">
        <v>15</v>
      </c>
      <c r="H1551" s="3" t="str">
        <f>"25"</f>
        <v>25</v>
      </c>
      <c r="I1551" s="4" t="str">
        <f>"35674"</f>
        <v>35674</v>
      </c>
      <c r="J1551" s="2">
        <v>45920</v>
      </c>
      <c r="K1551" s="1" t="s">
        <v>3884</v>
      </c>
    </row>
    <row r="1552" spans="1:11" x14ac:dyDescent="0.35">
      <c r="A1552" s="3" t="s">
        <v>3879</v>
      </c>
      <c r="B1552" s="1" t="s">
        <v>3880</v>
      </c>
      <c r="C1552" s="1" t="s">
        <v>3881</v>
      </c>
      <c r="D1552" s="1" t="str">
        <f>"5855"</f>
        <v>5855</v>
      </c>
      <c r="E1552" s="1" t="str">
        <f>"014778738"</f>
        <v>014778738</v>
      </c>
      <c r="F1552" s="1" t="s">
        <v>1942</v>
      </c>
      <c r="G1552" s="3" t="s">
        <v>15</v>
      </c>
      <c r="H1552" s="3" t="str">
        <f>"25"</f>
        <v>25</v>
      </c>
      <c r="I1552" s="4" t="str">
        <f>"7830"</f>
        <v>7830</v>
      </c>
      <c r="J1552" s="2">
        <v>45906</v>
      </c>
      <c r="K1552" s="1" t="s">
        <v>3882</v>
      </c>
    </row>
    <row r="1553" spans="1:11" x14ac:dyDescent="0.35">
      <c r="A1553" s="3" t="s">
        <v>3885</v>
      </c>
      <c r="B1553" s="1" t="s">
        <v>3966</v>
      </c>
      <c r="C1553" s="1" t="s">
        <v>3980</v>
      </c>
      <c r="D1553" s="1" t="str">
        <f>"5411"</f>
        <v>5411</v>
      </c>
      <c r="E1553" s="1" t="s">
        <v>3981</v>
      </c>
      <c r="F1553" s="1" t="s">
        <v>3982</v>
      </c>
      <c r="G1553" s="3" t="s">
        <v>15</v>
      </c>
      <c r="H1553" s="3" t="str">
        <f>"1"</f>
        <v>1</v>
      </c>
      <c r="I1553" s="4" t="str">
        <f>"96780"</f>
        <v>96780</v>
      </c>
      <c r="J1553" s="2">
        <v>45924</v>
      </c>
      <c r="K1553" s="1" t="s">
        <v>3983</v>
      </c>
    </row>
    <row r="1554" spans="1:11" x14ac:dyDescent="0.35">
      <c r="A1554" s="3" t="s">
        <v>3885</v>
      </c>
      <c r="B1554" s="1" t="s">
        <v>3966</v>
      </c>
      <c r="C1554" s="1" t="s">
        <v>3984</v>
      </c>
      <c r="D1554" s="1" t="str">
        <f>"6230"</f>
        <v>6230</v>
      </c>
      <c r="E1554" s="1" t="str">
        <f>"015635725"</f>
        <v>015635725</v>
      </c>
      <c r="F1554" s="1" t="s">
        <v>1527</v>
      </c>
      <c r="G1554" s="3" t="s">
        <v>15</v>
      </c>
      <c r="H1554" s="3" t="str">
        <f>"1"</f>
        <v>1</v>
      </c>
      <c r="I1554" s="4">
        <v>27986.240000000002</v>
      </c>
      <c r="J1554" s="2">
        <v>45924</v>
      </c>
      <c r="K1554" s="1" t="s">
        <v>3985</v>
      </c>
    </row>
    <row r="1555" spans="1:11" x14ac:dyDescent="0.35">
      <c r="A1555" s="3" t="s">
        <v>3885</v>
      </c>
      <c r="B1555" s="1" t="s">
        <v>3966</v>
      </c>
      <c r="C1555" s="1" t="s">
        <v>3991</v>
      </c>
      <c r="D1555" s="1" t="str">
        <f>"8465"</f>
        <v>8465</v>
      </c>
      <c r="E1555" s="1" t="str">
        <f>"013936515"</f>
        <v>013936515</v>
      </c>
      <c r="F1555" s="1" t="s">
        <v>849</v>
      </c>
      <c r="G1555" s="3" t="s">
        <v>15</v>
      </c>
      <c r="H1555" s="3" t="str">
        <f>"44"</f>
        <v>44</v>
      </c>
      <c r="I1555" s="4">
        <v>56.45</v>
      </c>
      <c r="J1555" s="2">
        <v>45924</v>
      </c>
      <c r="K1555" s="1" t="s">
        <v>3992</v>
      </c>
    </row>
    <row r="1556" spans="1:11" x14ac:dyDescent="0.35">
      <c r="A1556" s="3" t="s">
        <v>3885</v>
      </c>
      <c r="B1556" s="1" t="s">
        <v>3966</v>
      </c>
      <c r="C1556" s="1" t="s">
        <v>3993</v>
      </c>
      <c r="D1556" s="1" t="str">
        <f>"8465"</f>
        <v>8465</v>
      </c>
      <c r="E1556" s="1" t="str">
        <f>"015245250"</f>
        <v>015245250</v>
      </c>
      <c r="F1556" s="1" t="s">
        <v>921</v>
      </c>
      <c r="G1556" s="3" t="s">
        <v>15</v>
      </c>
      <c r="H1556" s="3" t="str">
        <f>"24"</f>
        <v>24</v>
      </c>
      <c r="I1556" s="4">
        <v>78.14</v>
      </c>
      <c r="J1556" s="2">
        <v>45924</v>
      </c>
      <c r="K1556" s="1" t="s">
        <v>3994</v>
      </c>
    </row>
    <row r="1557" spans="1:11" x14ac:dyDescent="0.35">
      <c r="A1557" s="3" t="s">
        <v>3885</v>
      </c>
      <c r="B1557" s="1" t="s">
        <v>3966</v>
      </c>
      <c r="C1557" s="1" t="s">
        <v>3995</v>
      </c>
      <c r="D1557" s="1" t="str">
        <f>"8465"</f>
        <v>8465</v>
      </c>
      <c r="E1557" s="1" t="str">
        <f>"016046541"</f>
        <v>016046541</v>
      </c>
      <c r="F1557" s="1" t="s">
        <v>975</v>
      </c>
      <c r="G1557" s="3" t="s">
        <v>15</v>
      </c>
      <c r="H1557" s="3" t="str">
        <f>"30"</f>
        <v>30</v>
      </c>
      <c r="I1557" s="4">
        <v>41.87</v>
      </c>
      <c r="J1557" s="2">
        <v>45924</v>
      </c>
      <c r="K1557" s="1" t="s">
        <v>3996</v>
      </c>
    </row>
    <row r="1558" spans="1:11" x14ac:dyDescent="0.35">
      <c r="A1558" s="3" t="s">
        <v>3885</v>
      </c>
      <c r="B1558" s="1" t="s">
        <v>3966</v>
      </c>
      <c r="C1558" s="1" t="s">
        <v>3997</v>
      </c>
      <c r="D1558" s="1" t="str">
        <f>"8465"</f>
        <v>8465</v>
      </c>
      <c r="E1558" s="1" t="str">
        <f>"015245250"</f>
        <v>015245250</v>
      </c>
      <c r="F1558" s="1" t="s">
        <v>921</v>
      </c>
      <c r="G1558" s="3" t="s">
        <v>15</v>
      </c>
      <c r="H1558" s="3" t="str">
        <f>"48"</f>
        <v>48</v>
      </c>
      <c r="I1558" s="4">
        <v>78.14</v>
      </c>
      <c r="J1558" s="2">
        <v>45924</v>
      </c>
      <c r="K1558" s="1" t="s">
        <v>3998</v>
      </c>
    </row>
    <row r="1559" spans="1:11" x14ac:dyDescent="0.35">
      <c r="A1559" s="3" t="s">
        <v>3885</v>
      </c>
      <c r="B1559" s="1" t="s">
        <v>3966</v>
      </c>
      <c r="C1559" s="1" t="s">
        <v>3999</v>
      </c>
      <c r="D1559" s="1" t="str">
        <f>"8465"</f>
        <v>8465</v>
      </c>
      <c r="E1559" s="1" t="str">
        <f>"015236276"</f>
        <v>015236276</v>
      </c>
      <c r="F1559" s="1" t="s">
        <v>3420</v>
      </c>
      <c r="G1559" s="3" t="s">
        <v>58</v>
      </c>
      <c r="H1559" s="3" t="str">
        <f>"22"</f>
        <v>22</v>
      </c>
      <c r="I1559" s="4">
        <v>265.95999999999998</v>
      </c>
      <c r="J1559" s="2">
        <v>45924</v>
      </c>
      <c r="K1559" s="1" t="s">
        <v>3998</v>
      </c>
    </row>
    <row r="1560" spans="1:11" x14ac:dyDescent="0.35">
      <c r="A1560" s="3" t="s">
        <v>3885</v>
      </c>
      <c r="B1560" s="1" t="s">
        <v>3966</v>
      </c>
      <c r="C1560" s="1" t="s">
        <v>4000</v>
      </c>
      <c r="D1560" s="1" t="str">
        <f>"8465"</f>
        <v>8465</v>
      </c>
      <c r="E1560" s="1" t="str">
        <f>"015250585"</f>
        <v>015250585</v>
      </c>
      <c r="F1560" s="1" t="s">
        <v>4001</v>
      </c>
      <c r="G1560" s="3" t="s">
        <v>15</v>
      </c>
      <c r="H1560" s="3" t="str">
        <f>"68"</f>
        <v>68</v>
      </c>
      <c r="I1560" s="4">
        <v>13.06</v>
      </c>
      <c r="J1560" s="2">
        <v>45924</v>
      </c>
      <c r="K1560" s="1" t="s">
        <v>4002</v>
      </c>
    </row>
    <row r="1561" spans="1:11" x14ac:dyDescent="0.35">
      <c r="A1561" s="3" t="s">
        <v>3885</v>
      </c>
      <c r="B1561" s="1" t="s">
        <v>3966</v>
      </c>
      <c r="C1561" s="1" t="s">
        <v>4016</v>
      </c>
      <c r="D1561" s="1" t="str">
        <f>"8465"</f>
        <v>8465</v>
      </c>
      <c r="E1561" s="1" t="str">
        <f>"013980685"</f>
        <v>013980685</v>
      </c>
      <c r="F1561" s="1" t="s">
        <v>854</v>
      </c>
      <c r="G1561" s="3" t="s">
        <v>15</v>
      </c>
      <c r="H1561" s="3" t="str">
        <f>"10"</f>
        <v>10</v>
      </c>
      <c r="I1561" s="4">
        <v>47.26</v>
      </c>
      <c r="J1561" s="2">
        <v>45924</v>
      </c>
      <c r="K1561" s="1" t="s">
        <v>4017</v>
      </c>
    </row>
    <row r="1562" spans="1:11" x14ac:dyDescent="0.35">
      <c r="A1562" s="3" t="s">
        <v>3885</v>
      </c>
      <c r="B1562" s="1" t="s">
        <v>3966</v>
      </c>
      <c r="C1562" s="1" t="s">
        <v>4018</v>
      </c>
      <c r="D1562" s="1" t="str">
        <f>"8465"</f>
        <v>8465</v>
      </c>
      <c r="E1562" s="1" t="str">
        <f>"013980687"</f>
        <v>013980687</v>
      </c>
      <c r="F1562" s="1" t="s">
        <v>854</v>
      </c>
      <c r="G1562" s="3" t="s">
        <v>15</v>
      </c>
      <c r="H1562" s="3" t="str">
        <f>"21"</f>
        <v>21</v>
      </c>
      <c r="I1562" s="4">
        <v>65.8</v>
      </c>
      <c r="J1562" s="2">
        <v>45924</v>
      </c>
      <c r="K1562" s="1" t="s">
        <v>4017</v>
      </c>
    </row>
    <row r="1563" spans="1:11" x14ac:dyDescent="0.35">
      <c r="A1563" s="3" t="s">
        <v>3885</v>
      </c>
      <c r="B1563" s="1" t="s">
        <v>4022</v>
      </c>
      <c r="C1563" s="1" t="s">
        <v>4029</v>
      </c>
      <c r="D1563" s="1" t="str">
        <f>"2320"</f>
        <v>2320</v>
      </c>
      <c r="E1563" s="1" t="s">
        <v>274</v>
      </c>
      <c r="F1563" s="1" t="s">
        <v>275</v>
      </c>
      <c r="G1563" s="3" t="s">
        <v>15</v>
      </c>
      <c r="H1563" s="3" t="str">
        <f>"1"</f>
        <v>1</v>
      </c>
      <c r="I1563" s="4">
        <v>24563.200000000001</v>
      </c>
      <c r="J1563" s="2">
        <v>45924</v>
      </c>
      <c r="K1563" s="1" t="s">
        <v>4030</v>
      </c>
    </row>
    <row r="1564" spans="1:11" x14ac:dyDescent="0.35">
      <c r="A1564" s="3" t="s">
        <v>3885</v>
      </c>
      <c r="B1564" s="1" t="s">
        <v>4022</v>
      </c>
      <c r="C1564" s="1" t="s">
        <v>4031</v>
      </c>
      <c r="D1564" s="1" t="str">
        <f>"2320"</f>
        <v>2320</v>
      </c>
      <c r="E1564" s="1" t="s">
        <v>274</v>
      </c>
      <c r="F1564" s="1" t="s">
        <v>275</v>
      </c>
      <c r="G1564" s="3" t="s">
        <v>15</v>
      </c>
      <c r="H1564" s="3" t="str">
        <f>"1"</f>
        <v>1</v>
      </c>
      <c r="I1564" s="4">
        <v>27565.93</v>
      </c>
      <c r="J1564" s="2">
        <v>45924</v>
      </c>
      <c r="K1564" s="1" t="s">
        <v>4032</v>
      </c>
    </row>
    <row r="1565" spans="1:11" x14ac:dyDescent="0.35">
      <c r="A1565" s="3" t="s">
        <v>3885</v>
      </c>
      <c r="B1565" s="1" t="s">
        <v>4022</v>
      </c>
      <c r="C1565" s="1" t="s">
        <v>4033</v>
      </c>
      <c r="D1565" s="1" t="str">
        <f>"2320"</f>
        <v>2320</v>
      </c>
      <c r="E1565" s="1" t="s">
        <v>274</v>
      </c>
      <c r="F1565" s="1" t="s">
        <v>275</v>
      </c>
      <c r="G1565" s="3" t="s">
        <v>15</v>
      </c>
      <c r="H1565" s="3" t="str">
        <f>"1"</f>
        <v>1</v>
      </c>
      <c r="I1565" s="4" t="str">
        <f>"24563"</f>
        <v>24563</v>
      </c>
      <c r="J1565" s="2">
        <v>45924</v>
      </c>
      <c r="K1565" s="1" t="s">
        <v>4032</v>
      </c>
    </row>
    <row r="1566" spans="1:11" x14ac:dyDescent="0.35">
      <c r="A1566" s="3" t="s">
        <v>3885</v>
      </c>
      <c r="B1566" s="1" t="s">
        <v>4074</v>
      </c>
      <c r="C1566" s="1" t="s">
        <v>4075</v>
      </c>
      <c r="D1566" s="1" t="str">
        <f>"3930"</f>
        <v>3930</v>
      </c>
      <c r="E1566" s="1" t="s">
        <v>150</v>
      </c>
      <c r="F1566" s="1" t="s">
        <v>151</v>
      </c>
      <c r="G1566" s="3" t="s">
        <v>15</v>
      </c>
      <c r="H1566" s="3" t="str">
        <f>"1"</f>
        <v>1</v>
      </c>
      <c r="I1566" s="4" t="str">
        <f>"36929"</f>
        <v>36929</v>
      </c>
      <c r="J1566" s="2">
        <v>45923</v>
      </c>
      <c r="K1566" s="1" t="s">
        <v>4076</v>
      </c>
    </row>
    <row r="1567" spans="1:11" x14ac:dyDescent="0.35">
      <c r="A1567" s="3" t="s">
        <v>3885</v>
      </c>
      <c r="B1567" s="1" t="s">
        <v>4074</v>
      </c>
      <c r="C1567" s="1" t="s">
        <v>4077</v>
      </c>
      <c r="D1567" s="1" t="str">
        <f>"3930"</f>
        <v>3930</v>
      </c>
      <c r="E1567" s="1" t="s">
        <v>150</v>
      </c>
      <c r="F1567" s="1" t="s">
        <v>151</v>
      </c>
      <c r="G1567" s="3" t="s">
        <v>15</v>
      </c>
      <c r="H1567" s="3" t="str">
        <f>"1"</f>
        <v>1</v>
      </c>
      <c r="I1567" s="4" t="str">
        <f>"37279"</f>
        <v>37279</v>
      </c>
      <c r="J1567" s="2">
        <v>45923</v>
      </c>
      <c r="K1567" s="1" t="s">
        <v>4076</v>
      </c>
    </row>
    <row r="1568" spans="1:11" x14ac:dyDescent="0.35">
      <c r="A1568" s="3" t="s">
        <v>3885</v>
      </c>
      <c r="B1568" s="1" t="s">
        <v>3966</v>
      </c>
      <c r="C1568" s="1" t="s">
        <v>3978</v>
      </c>
      <c r="D1568" s="1" t="str">
        <f>"5411"</f>
        <v>5411</v>
      </c>
      <c r="E1568" s="1" t="str">
        <f>"013554322"</f>
        <v>013554322</v>
      </c>
      <c r="F1568" s="1" t="s">
        <v>1453</v>
      </c>
      <c r="G1568" s="3" t="s">
        <v>15</v>
      </c>
      <c r="H1568" s="3" t="str">
        <f>"2"</f>
        <v>2</v>
      </c>
      <c r="I1568" s="4" t="str">
        <f>"2500"</f>
        <v>2500</v>
      </c>
      <c r="J1568" s="2">
        <v>45918</v>
      </c>
      <c r="K1568" s="1" t="s">
        <v>3979</v>
      </c>
    </row>
    <row r="1569" spans="1:11" x14ac:dyDescent="0.35">
      <c r="A1569" s="3" t="s">
        <v>3885</v>
      </c>
      <c r="B1569" s="1" t="s">
        <v>4022</v>
      </c>
      <c r="C1569" s="1" t="s">
        <v>4061</v>
      </c>
      <c r="D1569" s="1" t="str">
        <f>"4020"</f>
        <v>4020</v>
      </c>
      <c r="E1569" s="1" t="str">
        <f>"002315870"</f>
        <v>002315870</v>
      </c>
      <c r="F1569" s="1" t="s">
        <v>4062</v>
      </c>
      <c r="G1569" s="3" t="s">
        <v>4063</v>
      </c>
      <c r="H1569" s="3" t="str">
        <f>"2"</f>
        <v>2</v>
      </c>
      <c r="I1569" s="4">
        <v>9.11</v>
      </c>
      <c r="J1569" s="2">
        <v>45918</v>
      </c>
      <c r="K1569" s="1" t="s">
        <v>4064</v>
      </c>
    </row>
    <row r="1570" spans="1:11" x14ac:dyDescent="0.35">
      <c r="A1570" s="3" t="s">
        <v>3885</v>
      </c>
      <c r="B1570" s="1" t="s">
        <v>4022</v>
      </c>
      <c r="C1570" s="1" t="s">
        <v>4065</v>
      </c>
      <c r="D1570" s="1" t="str">
        <f>"4220"</f>
        <v>4220</v>
      </c>
      <c r="E1570" s="1" t="s">
        <v>4066</v>
      </c>
      <c r="F1570" s="1" t="s">
        <v>4067</v>
      </c>
      <c r="G1570" s="3" t="s">
        <v>15</v>
      </c>
      <c r="H1570" s="3" t="str">
        <f>"75"</f>
        <v>75</v>
      </c>
      <c r="I1570" s="4" t="str">
        <f>"50"</f>
        <v>50</v>
      </c>
      <c r="J1570" s="2">
        <v>45918</v>
      </c>
      <c r="K1570" s="1" t="s">
        <v>4068</v>
      </c>
    </row>
    <row r="1571" spans="1:11" x14ac:dyDescent="0.35">
      <c r="A1571" s="3" t="s">
        <v>3885</v>
      </c>
      <c r="B1571" s="1" t="s">
        <v>4022</v>
      </c>
      <c r="C1571" s="1" t="s">
        <v>4069</v>
      </c>
      <c r="D1571" s="1" t="str">
        <f>"6115"</f>
        <v>6115</v>
      </c>
      <c r="E1571" s="1" t="str">
        <f>"016556845"</f>
        <v>016556845</v>
      </c>
      <c r="F1571" s="1" t="s">
        <v>435</v>
      </c>
      <c r="G1571" s="3" t="s">
        <v>15</v>
      </c>
      <c r="H1571" s="3" t="str">
        <f>"1"</f>
        <v>1</v>
      </c>
      <c r="I1571" s="4" t="str">
        <f>"6285"</f>
        <v>6285</v>
      </c>
      <c r="J1571" s="2">
        <v>45918</v>
      </c>
      <c r="K1571" s="1" t="s">
        <v>4070</v>
      </c>
    </row>
    <row r="1572" spans="1:11" x14ac:dyDescent="0.35">
      <c r="A1572" s="3" t="s">
        <v>3885</v>
      </c>
      <c r="B1572" s="1" t="s">
        <v>4022</v>
      </c>
      <c r="C1572" s="1" t="s">
        <v>4071</v>
      </c>
      <c r="D1572" s="1" t="str">
        <f>"8465"</f>
        <v>8465</v>
      </c>
      <c r="E1572" s="1" t="str">
        <f>"015236276"</f>
        <v>015236276</v>
      </c>
      <c r="F1572" s="1" t="s">
        <v>3420</v>
      </c>
      <c r="G1572" s="3" t="s">
        <v>58</v>
      </c>
      <c r="H1572" s="3" t="str">
        <f>"25"</f>
        <v>25</v>
      </c>
      <c r="I1572" s="4">
        <v>265.95999999999998</v>
      </c>
      <c r="J1572" s="2">
        <v>45918</v>
      </c>
      <c r="K1572" s="1" t="s">
        <v>4072</v>
      </c>
    </row>
    <row r="1573" spans="1:11" x14ac:dyDescent="0.35">
      <c r="A1573" s="3" t="s">
        <v>3885</v>
      </c>
      <c r="B1573" s="1" t="s">
        <v>4022</v>
      </c>
      <c r="C1573" s="1" t="s">
        <v>4073</v>
      </c>
      <c r="D1573" s="1" t="str">
        <f>"8465"</f>
        <v>8465</v>
      </c>
      <c r="E1573" s="1" t="str">
        <f>"016007830"</f>
        <v>016007830</v>
      </c>
      <c r="F1573" s="1" t="s">
        <v>303</v>
      </c>
      <c r="G1573" s="3" t="s">
        <v>15</v>
      </c>
      <c r="H1573" s="3" t="str">
        <f>"21"</f>
        <v>21</v>
      </c>
      <c r="I1573" s="4">
        <v>128.33000000000001</v>
      </c>
      <c r="J1573" s="2">
        <v>45918</v>
      </c>
      <c r="K1573" s="1" t="s">
        <v>4072</v>
      </c>
    </row>
    <row r="1574" spans="1:11" x14ac:dyDescent="0.35">
      <c r="A1574" s="3" t="s">
        <v>3885</v>
      </c>
      <c r="B1574" s="1" t="s">
        <v>3886</v>
      </c>
      <c r="C1574" s="1" t="s">
        <v>3887</v>
      </c>
      <c r="D1574" s="1" t="str">
        <f>"1240"</f>
        <v>1240</v>
      </c>
      <c r="E1574" s="1" t="str">
        <f>"015620953"</f>
        <v>015620953</v>
      </c>
      <c r="F1574" s="1" t="s">
        <v>2523</v>
      </c>
      <c r="G1574" s="3" t="s">
        <v>15</v>
      </c>
      <c r="H1574" s="3" t="str">
        <f>"2"</f>
        <v>2</v>
      </c>
      <c r="I1574" s="4">
        <v>1602.37</v>
      </c>
      <c r="J1574" s="2">
        <v>45911</v>
      </c>
      <c r="K1574" s="1" t="s">
        <v>3888</v>
      </c>
    </row>
    <row r="1575" spans="1:11" x14ac:dyDescent="0.35">
      <c r="A1575" s="3" t="s">
        <v>3885</v>
      </c>
      <c r="B1575" s="1" t="s">
        <v>3952</v>
      </c>
      <c r="C1575" s="1" t="s">
        <v>3953</v>
      </c>
      <c r="D1575" s="1" t="str">
        <f>"1680"</f>
        <v>1680</v>
      </c>
      <c r="E1575" s="1" t="str">
        <f>"016480399"</f>
        <v>016480399</v>
      </c>
      <c r="F1575" s="1" t="s">
        <v>3954</v>
      </c>
      <c r="G1575" s="3" t="s">
        <v>15</v>
      </c>
      <c r="H1575" s="3" t="str">
        <f>"10"</f>
        <v>10</v>
      </c>
      <c r="I1575" s="4" t="str">
        <f>"992"</f>
        <v>992</v>
      </c>
      <c r="J1575" s="2">
        <v>45904</v>
      </c>
      <c r="K1575" s="1" t="s">
        <v>3955</v>
      </c>
    </row>
    <row r="1576" spans="1:11" x14ac:dyDescent="0.35">
      <c r="A1576" s="3" t="s">
        <v>3885</v>
      </c>
      <c r="B1576" s="1" t="s">
        <v>3952</v>
      </c>
      <c r="C1576" s="1" t="s">
        <v>3956</v>
      </c>
      <c r="D1576" s="1" t="str">
        <f>"1940"</f>
        <v>1940</v>
      </c>
      <c r="E1576" s="1" t="str">
        <f>"015991756"</f>
        <v>015991756</v>
      </c>
      <c r="F1576" s="1" t="s">
        <v>2263</v>
      </c>
      <c r="G1576" s="3" t="s">
        <v>15</v>
      </c>
      <c r="H1576" s="3" t="str">
        <f>"10"</f>
        <v>10</v>
      </c>
      <c r="I1576" s="4" t="str">
        <f>"10500"</f>
        <v>10500</v>
      </c>
      <c r="J1576" s="2">
        <v>45904</v>
      </c>
      <c r="K1576" s="1" t="s">
        <v>3957</v>
      </c>
    </row>
    <row r="1577" spans="1:11" x14ac:dyDescent="0.35">
      <c r="A1577" s="3" t="s">
        <v>3885</v>
      </c>
      <c r="B1577" s="1" t="s">
        <v>3952</v>
      </c>
      <c r="C1577" s="1" t="s">
        <v>3960</v>
      </c>
      <c r="D1577" s="1" t="str">
        <f>"3920"</f>
        <v>3920</v>
      </c>
      <c r="E1577" s="1" t="str">
        <f>"002425764"</f>
        <v>002425764</v>
      </c>
      <c r="F1577" s="1" t="s">
        <v>3961</v>
      </c>
      <c r="G1577" s="3" t="s">
        <v>15</v>
      </c>
      <c r="H1577" s="3" t="str">
        <f>"2"</f>
        <v>2</v>
      </c>
      <c r="I1577" s="4">
        <v>639.55999999999995</v>
      </c>
      <c r="J1577" s="2">
        <v>45904</v>
      </c>
      <c r="K1577" s="1" t="s">
        <v>3962</v>
      </c>
    </row>
    <row r="1578" spans="1:11" x14ac:dyDescent="0.35">
      <c r="A1578" s="3" t="s">
        <v>3885</v>
      </c>
      <c r="B1578" s="1" t="s">
        <v>3952</v>
      </c>
      <c r="C1578" s="1" t="s">
        <v>3963</v>
      </c>
      <c r="D1578" s="1" t="str">
        <f>"3930"</f>
        <v>3930</v>
      </c>
      <c r="E1578" s="1" t="s">
        <v>150</v>
      </c>
      <c r="F1578" s="1" t="s">
        <v>151</v>
      </c>
      <c r="G1578" s="3" t="s">
        <v>15</v>
      </c>
      <c r="H1578" s="3" t="str">
        <f>"1"</f>
        <v>1</v>
      </c>
      <c r="I1578" s="4" t="str">
        <f>"21307"</f>
        <v>21307</v>
      </c>
      <c r="J1578" s="2">
        <v>45904</v>
      </c>
      <c r="K1578" s="1" t="s">
        <v>3964</v>
      </c>
    </row>
    <row r="1579" spans="1:11" x14ac:dyDescent="0.35">
      <c r="A1579" s="3" t="s">
        <v>3885</v>
      </c>
      <c r="B1579" s="1" t="s">
        <v>3952</v>
      </c>
      <c r="C1579" s="1" t="s">
        <v>3965</v>
      </c>
      <c r="D1579" s="1" t="str">
        <f>"3930"</f>
        <v>3930</v>
      </c>
      <c r="E1579" s="1" t="s">
        <v>150</v>
      </c>
      <c r="F1579" s="1" t="s">
        <v>151</v>
      </c>
      <c r="G1579" s="3" t="s">
        <v>15</v>
      </c>
      <c r="H1579" s="3" t="str">
        <f>"1"</f>
        <v>1</v>
      </c>
      <c r="I1579" s="4" t="str">
        <f>"18451"</f>
        <v>18451</v>
      </c>
      <c r="J1579" s="2">
        <v>45904</v>
      </c>
      <c r="K1579" s="1" t="s">
        <v>3964</v>
      </c>
    </row>
    <row r="1580" spans="1:11" x14ac:dyDescent="0.35">
      <c r="A1580" s="3" t="s">
        <v>3885</v>
      </c>
      <c r="B1580" s="1" t="s">
        <v>4022</v>
      </c>
      <c r="C1580" s="1" t="s">
        <v>4048</v>
      </c>
      <c r="D1580" s="1" t="str">
        <f>"2330"</f>
        <v>2330</v>
      </c>
      <c r="E1580" s="1" t="s">
        <v>70</v>
      </c>
      <c r="F1580" s="1" t="s">
        <v>71</v>
      </c>
      <c r="G1580" s="3" t="s">
        <v>15</v>
      </c>
      <c r="H1580" s="3" t="str">
        <f>"1"</f>
        <v>1</v>
      </c>
      <c r="I1580" s="4" t="str">
        <f>"40000"</f>
        <v>40000</v>
      </c>
      <c r="J1580" s="2">
        <v>45903</v>
      </c>
      <c r="K1580" s="1" t="s">
        <v>4049</v>
      </c>
    </row>
    <row r="1581" spans="1:11" x14ac:dyDescent="0.35">
      <c r="A1581" s="3" t="s">
        <v>3885</v>
      </c>
      <c r="B1581" s="1" t="s">
        <v>3898</v>
      </c>
      <c r="C1581" s="1" t="s">
        <v>3899</v>
      </c>
      <c r="D1581" s="1" t="str">
        <f>"1385"</f>
        <v>1385</v>
      </c>
      <c r="E1581" s="1" t="str">
        <f>"015744707"</f>
        <v>015744707</v>
      </c>
      <c r="F1581" s="1" t="s">
        <v>2247</v>
      </c>
      <c r="G1581" s="3" t="s">
        <v>15</v>
      </c>
      <c r="H1581" s="3" t="str">
        <f>"1"</f>
        <v>1</v>
      </c>
      <c r="I1581" s="4" t="str">
        <f>"10000"</f>
        <v>10000</v>
      </c>
      <c r="J1581" s="2">
        <v>45897</v>
      </c>
      <c r="K1581" s="1" t="s">
        <v>3900</v>
      </c>
    </row>
    <row r="1582" spans="1:11" x14ac:dyDescent="0.35">
      <c r="A1582" s="3" t="s">
        <v>3885</v>
      </c>
      <c r="B1582" s="1" t="s">
        <v>3895</v>
      </c>
      <c r="C1582" s="1" t="s">
        <v>3896</v>
      </c>
      <c r="D1582" s="1" t="str">
        <f>"3805"</f>
        <v>3805</v>
      </c>
      <c r="E1582" s="1" t="str">
        <f>"011504814"</f>
        <v>011504814</v>
      </c>
      <c r="F1582" s="1" t="s">
        <v>587</v>
      </c>
      <c r="G1582" s="3" t="s">
        <v>15</v>
      </c>
      <c r="H1582" s="3" t="str">
        <f>"1"</f>
        <v>1</v>
      </c>
      <c r="I1582" s="4" t="str">
        <f>"58890"</f>
        <v>58890</v>
      </c>
      <c r="J1582" s="2">
        <v>45896</v>
      </c>
      <c r="K1582" s="1" t="s">
        <v>3897</v>
      </c>
    </row>
    <row r="1583" spans="1:11" x14ac:dyDescent="0.35">
      <c r="A1583" s="3" t="s">
        <v>3885</v>
      </c>
      <c r="B1583" s="1" t="s">
        <v>3966</v>
      </c>
      <c r="C1583" s="1" t="s">
        <v>3971</v>
      </c>
      <c r="D1583" s="1" t="str">
        <f>"4030"</f>
        <v>4030</v>
      </c>
      <c r="E1583" s="1" t="str">
        <f>"016657223"</f>
        <v>016657223</v>
      </c>
      <c r="F1583" s="1" t="s">
        <v>3389</v>
      </c>
      <c r="G1583" s="3" t="s">
        <v>15</v>
      </c>
      <c r="H1583" s="3" t="str">
        <f>"30"</f>
        <v>30</v>
      </c>
      <c r="I1583" s="4">
        <v>56.08</v>
      </c>
      <c r="J1583" s="2">
        <v>45895</v>
      </c>
      <c r="K1583" s="1" t="s">
        <v>3972</v>
      </c>
    </row>
    <row r="1584" spans="1:11" x14ac:dyDescent="0.35">
      <c r="A1584" s="3" t="s">
        <v>3885</v>
      </c>
      <c r="B1584" s="1" t="s">
        <v>3966</v>
      </c>
      <c r="C1584" s="1" t="s">
        <v>3973</v>
      </c>
      <c r="D1584" s="1" t="str">
        <f>"4030"</f>
        <v>4030</v>
      </c>
      <c r="E1584" s="1" t="str">
        <f>"016684251"</f>
        <v>016684251</v>
      </c>
      <c r="F1584" s="1" t="s">
        <v>3389</v>
      </c>
      <c r="G1584" s="3" t="s">
        <v>15</v>
      </c>
      <c r="H1584" s="3" t="str">
        <f>"30"</f>
        <v>30</v>
      </c>
      <c r="I1584" s="4">
        <v>22.07</v>
      </c>
      <c r="J1584" s="2">
        <v>45895</v>
      </c>
      <c r="K1584" s="1" t="s">
        <v>3974</v>
      </c>
    </row>
    <row r="1585" spans="1:11" x14ac:dyDescent="0.35">
      <c r="A1585" s="3" t="s">
        <v>3885</v>
      </c>
      <c r="B1585" s="1" t="s">
        <v>3966</v>
      </c>
      <c r="C1585" s="1" t="s">
        <v>3975</v>
      </c>
      <c r="D1585" s="1" t="str">
        <f>"4140"</f>
        <v>4140</v>
      </c>
      <c r="E1585" s="1" t="str">
        <f>"002557799"</f>
        <v>002557799</v>
      </c>
      <c r="F1585" s="1" t="s">
        <v>3976</v>
      </c>
      <c r="G1585" s="3" t="s">
        <v>15</v>
      </c>
      <c r="H1585" s="3" t="str">
        <f>"14"</f>
        <v>14</v>
      </c>
      <c r="I1585" s="4">
        <v>453.39</v>
      </c>
      <c r="J1585" s="2">
        <v>45895</v>
      </c>
      <c r="K1585" s="1" t="s">
        <v>3977</v>
      </c>
    </row>
    <row r="1586" spans="1:11" x14ac:dyDescent="0.35">
      <c r="A1586" s="3" t="s">
        <v>3885</v>
      </c>
      <c r="B1586" s="1" t="s">
        <v>3966</v>
      </c>
      <c r="C1586" s="1" t="s">
        <v>4003</v>
      </c>
      <c r="D1586" s="1" t="str">
        <f>"8465"</f>
        <v>8465</v>
      </c>
      <c r="E1586" s="1" t="str">
        <f>"014456274"</f>
        <v>014456274</v>
      </c>
      <c r="F1586" s="1" t="s">
        <v>1434</v>
      </c>
      <c r="G1586" s="3" t="s">
        <v>15</v>
      </c>
      <c r="H1586" s="3" t="str">
        <f>"13"</f>
        <v>13</v>
      </c>
      <c r="I1586" s="4">
        <v>265.76</v>
      </c>
      <c r="J1586" s="2">
        <v>45895</v>
      </c>
      <c r="K1586" s="1" t="s">
        <v>4004</v>
      </c>
    </row>
    <row r="1587" spans="1:11" x14ac:dyDescent="0.35">
      <c r="A1587" s="3" t="s">
        <v>3885</v>
      </c>
      <c r="B1587" s="1" t="s">
        <v>3966</v>
      </c>
      <c r="C1587" s="1" t="s">
        <v>4005</v>
      </c>
      <c r="D1587" s="1" t="str">
        <f>"8465"</f>
        <v>8465</v>
      </c>
      <c r="E1587" s="1" t="str">
        <f>"001656838"</f>
        <v>001656838</v>
      </c>
      <c r="F1587" s="1" t="s">
        <v>4006</v>
      </c>
      <c r="G1587" s="3" t="s">
        <v>15</v>
      </c>
      <c r="H1587" s="3" t="str">
        <f>"23"</f>
        <v>23</v>
      </c>
      <c r="I1587" s="4">
        <v>26.2</v>
      </c>
      <c r="J1587" s="2">
        <v>45895</v>
      </c>
      <c r="K1587" s="1" t="s">
        <v>4007</v>
      </c>
    </row>
    <row r="1588" spans="1:11" x14ac:dyDescent="0.35">
      <c r="A1588" s="3" t="s">
        <v>3885</v>
      </c>
      <c r="B1588" s="1" t="s">
        <v>3966</v>
      </c>
      <c r="C1588" s="1" t="s">
        <v>4008</v>
      </c>
      <c r="D1588" s="1" t="str">
        <f>"8465"</f>
        <v>8465</v>
      </c>
      <c r="E1588" s="1" t="str">
        <f>"016046541"</f>
        <v>016046541</v>
      </c>
      <c r="F1588" s="1" t="s">
        <v>975</v>
      </c>
      <c r="G1588" s="3" t="s">
        <v>15</v>
      </c>
      <c r="H1588" s="3" t="str">
        <f>"50"</f>
        <v>50</v>
      </c>
      <c r="I1588" s="4">
        <v>41.87</v>
      </c>
      <c r="J1588" s="2">
        <v>45895</v>
      </c>
      <c r="K1588" s="1" t="s">
        <v>4009</v>
      </c>
    </row>
    <row r="1589" spans="1:11" x14ac:dyDescent="0.35">
      <c r="A1589" s="3" t="s">
        <v>3885</v>
      </c>
      <c r="B1589" s="1" t="s">
        <v>4022</v>
      </c>
      <c r="C1589" s="1" t="s">
        <v>4034</v>
      </c>
      <c r="D1589" s="1" t="str">
        <f>"2320"</f>
        <v>2320</v>
      </c>
      <c r="E1589" s="1" t="s">
        <v>321</v>
      </c>
      <c r="F1589" s="1" t="s">
        <v>322</v>
      </c>
      <c r="G1589" s="3" t="s">
        <v>15</v>
      </c>
      <c r="H1589" s="3" t="str">
        <f>"1"</f>
        <v>1</v>
      </c>
      <c r="I1589" s="4">
        <v>19720.25</v>
      </c>
      <c r="J1589" s="2">
        <v>45894</v>
      </c>
      <c r="K1589" s="1" t="s">
        <v>4035</v>
      </c>
    </row>
    <row r="1590" spans="1:11" x14ac:dyDescent="0.35">
      <c r="A1590" s="3" t="s">
        <v>3885</v>
      </c>
      <c r="B1590" s="1" t="s">
        <v>4019</v>
      </c>
      <c r="C1590" s="1" t="s">
        <v>4020</v>
      </c>
      <c r="D1590" s="1" t="str">
        <f>"1095"</f>
        <v>1095</v>
      </c>
      <c r="E1590" s="1" t="str">
        <f>"015432189"</f>
        <v>015432189</v>
      </c>
      <c r="F1590" s="1" t="s">
        <v>106</v>
      </c>
      <c r="G1590" s="3" t="s">
        <v>15</v>
      </c>
      <c r="H1590" s="3" t="str">
        <f>"19"</f>
        <v>19</v>
      </c>
      <c r="I1590" s="4" t="str">
        <f>"959"</f>
        <v>959</v>
      </c>
      <c r="J1590" s="2">
        <v>45891</v>
      </c>
      <c r="K1590" s="1" t="s">
        <v>4021</v>
      </c>
    </row>
    <row r="1591" spans="1:11" x14ac:dyDescent="0.35">
      <c r="A1591" s="3" t="s">
        <v>3885</v>
      </c>
      <c r="B1591" s="1" t="s">
        <v>4022</v>
      </c>
      <c r="C1591" s="1" t="s">
        <v>4050</v>
      </c>
      <c r="D1591" s="1" t="str">
        <f>"2420"</f>
        <v>2420</v>
      </c>
      <c r="E1591" s="1" t="s">
        <v>405</v>
      </c>
      <c r="F1591" s="1" t="s">
        <v>406</v>
      </c>
      <c r="G1591" s="3" t="s">
        <v>15</v>
      </c>
      <c r="H1591" s="3" t="str">
        <f>"1"</f>
        <v>1</v>
      </c>
      <c r="I1591" s="4">
        <v>41387.89</v>
      </c>
      <c r="J1591" s="2">
        <v>45891</v>
      </c>
      <c r="K1591" s="1" t="s">
        <v>4051</v>
      </c>
    </row>
    <row r="1592" spans="1:11" x14ac:dyDescent="0.35">
      <c r="A1592" s="3" t="s">
        <v>3885</v>
      </c>
      <c r="B1592" s="1" t="s">
        <v>4074</v>
      </c>
      <c r="C1592" s="1" t="s">
        <v>4078</v>
      </c>
      <c r="D1592" s="1" t="str">
        <f>"7830"</f>
        <v>7830</v>
      </c>
      <c r="E1592" s="1" t="s">
        <v>189</v>
      </c>
      <c r="F1592" s="1" t="s">
        <v>190</v>
      </c>
      <c r="G1592" s="3" t="s">
        <v>15</v>
      </c>
      <c r="H1592" s="3" t="str">
        <f>"1"</f>
        <v>1</v>
      </c>
      <c r="I1592" s="4" t="str">
        <f>"200"</f>
        <v>200</v>
      </c>
      <c r="J1592" s="2">
        <v>45891</v>
      </c>
      <c r="K1592" s="1" t="s">
        <v>4079</v>
      </c>
    </row>
    <row r="1593" spans="1:11" x14ac:dyDescent="0.35">
      <c r="A1593" s="3" t="s">
        <v>3885</v>
      </c>
      <c r="B1593" s="1" t="s">
        <v>4074</v>
      </c>
      <c r="C1593" s="1" t="s">
        <v>4080</v>
      </c>
      <c r="D1593" s="1" t="str">
        <f>"7830"</f>
        <v>7830</v>
      </c>
      <c r="E1593" s="1" t="s">
        <v>182</v>
      </c>
      <c r="F1593" s="1" t="s">
        <v>183</v>
      </c>
      <c r="G1593" s="3" t="s">
        <v>15</v>
      </c>
      <c r="H1593" s="3" t="str">
        <f>"1"</f>
        <v>1</v>
      </c>
      <c r="I1593" s="4" t="str">
        <f>"200"</f>
        <v>200</v>
      </c>
      <c r="J1593" s="2">
        <v>45891</v>
      </c>
      <c r="K1593" s="1" t="s">
        <v>4081</v>
      </c>
    </row>
    <row r="1594" spans="1:11" x14ac:dyDescent="0.35">
      <c r="A1594" s="3" t="s">
        <v>3885</v>
      </c>
      <c r="B1594" s="1" t="s">
        <v>4074</v>
      </c>
      <c r="C1594" s="1" t="s">
        <v>4082</v>
      </c>
      <c r="D1594" s="1" t="str">
        <f>"7830"</f>
        <v>7830</v>
      </c>
      <c r="E1594" s="1" t="s">
        <v>4083</v>
      </c>
      <c r="F1594" s="1" t="s">
        <v>4084</v>
      </c>
      <c r="G1594" s="3" t="s">
        <v>15</v>
      </c>
      <c r="H1594" s="3" t="str">
        <f>"1"</f>
        <v>1</v>
      </c>
      <c r="I1594" s="4" t="str">
        <f>"200"</f>
        <v>200</v>
      </c>
      <c r="J1594" s="2">
        <v>45891</v>
      </c>
      <c r="K1594" s="1" t="s">
        <v>4085</v>
      </c>
    </row>
    <row r="1595" spans="1:11" x14ac:dyDescent="0.35">
      <c r="A1595" s="3" t="s">
        <v>3885</v>
      </c>
      <c r="B1595" s="1" t="s">
        <v>4074</v>
      </c>
      <c r="C1595" s="1" t="s">
        <v>4086</v>
      </c>
      <c r="D1595" s="1" t="str">
        <f>"7830"</f>
        <v>7830</v>
      </c>
      <c r="E1595" s="1" t="s">
        <v>42</v>
      </c>
      <c r="F1595" s="1" t="s">
        <v>43</v>
      </c>
      <c r="G1595" s="3" t="s">
        <v>15</v>
      </c>
      <c r="H1595" s="3" t="str">
        <f>"1"</f>
        <v>1</v>
      </c>
      <c r="I1595" s="4" t="str">
        <f>"500"</f>
        <v>500</v>
      </c>
      <c r="J1595" s="2">
        <v>45891</v>
      </c>
      <c r="K1595" s="1" t="s">
        <v>4081</v>
      </c>
    </row>
    <row r="1596" spans="1:11" x14ac:dyDescent="0.35">
      <c r="A1596" s="3" t="s">
        <v>3885</v>
      </c>
      <c r="B1596" s="1" t="s">
        <v>3886</v>
      </c>
      <c r="C1596" s="1" t="s">
        <v>3889</v>
      </c>
      <c r="D1596" s="1" t="str">
        <f>"5855"</f>
        <v>5855</v>
      </c>
      <c r="E1596" s="1" t="str">
        <f>"015019520"</f>
        <v>015019520</v>
      </c>
      <c r="F1596" s="1" t="s">
        <v>1379</v>
      </c>
      <c r="G1596" s="3" t="s">
        <v>15</v>
      </c>
      <c r="H1596" s="3" t="str">
        <f>"2"</f>
        <v>2</v>
      </c>
      <c r="I1596" s="4">
        <v>21278.48</v>
      </c>
      <c r="J1596" s="2">
        <v>45890</v>
      </c>
      <c r="K1596" s="1" t="s">
        <v>3890</v>
      </c>
    </row>
    <row r="1597" spans="1:11" x14ac:dyDescent="0.35">
      <c r="A1597" s="3" t="s">
        <v>3885</v>
      </c>
      <c r="B1597" s="1" t="s">
        <v>3901</v>
      </c>
      <c r="C1597" s="1" t="s">
        <v>3902</v>
      </c>
      <c r="D1597" s="1" t="str">
        <f>"2540"</f>
        <v>2540</v>
      </c>
      <c r="E1597" s="1" t="str">
        <f>"011538448"</f>
        <v>011538448</v>
      </c>
      <c r="F1597" s="1" t="s">
        <v>3903</v>
      </c>
      <c r="G1597" s="3" t="s">
        <v>15</v>
      </c>
      <c r="H1597" s="3" t="str">
        <f>"1"</f>
        <v>1</v>
      </c>
      <c r="I1597" s="4">
        <v>142.75</v>
      </c>
      <c r="J1597" s="2">
        <v>45887</v>
      </c>
      <c r="K1597" s="1" t="s">
        <v>3904</v>
      </c>
    </row>
    <row r="1598" spans="1:11" x14ac:dyDescent="0.35">
      <c r="A1598" s="3" t="s">
        <v>3885</v>
      </c>
      <c r="B1598" s="1" t="s">
        <v>3901</v>
      </c>
      <c r="C1598" s="1" t="s">
        <v>3905</v>
      </c>
      <c r="D1598" s="1" t="str">
        <f>"4120"</f>
        <v>4120</v>
      </c>
      <c r="E1598" s="1" t="str">
        <f>"009054230"</f>
        <v>009054230</v>
      </c>
      <c r="F1598" s="1" t="s">
        <v>943</v>
      </c>
      <c r="G1598" s="3" t="s">
        <v>15</v>
      </c>
      <c r="H1598" s="3" t="str">
        <f>"4"</f>
        <v>4</v>
      </c>
      <c r="I1598" s="4">
        <v>1093.0999999999999</v>
      </c>
      <c r="J1598" s="2">
        <v>45887</v>
      </c>
      <c r="K1598" s="1" t="s">
        <v>3906</v>
      </c>
    </row>
    <row r="1599" spans="1:11" x14ac:dyDescent="0.35">
      <c r="A1599" s="3" t="s">
        <v>3885</v>
      </c>
      <c r="B1599" s="1" t="s">
        <v>3901</v>
      </c>
      <c r="C1599" s="1" t="s">
        <v>3912</v>
      </c>
      <c r="D1599" s="1" t="str">
        <f>"5120"</f>
        <v>5120</v>
      </c>
      <c r="E1599" s="1" t="str">
        <f>"014767556"</f>
        <v>014767556</v>
      </c>
      <c r="F1599" s="1" t="s">
        <v>2578</v>
      </c>
      <c r="G1599" s="3" t="s">
        <v>15</v>
      </c>
      <c r="H1599" s="3" t="str">
        <f>"19"</f>
        <v>19</v>
      </c>
      <c r="I1599" s="4">
        <v>61.83</v>
      </c>
      <c r="J1599" s="2">
        <v>45887</v>
      </c>
      <c r="K1599" s="1" t="s">
        <v>3913</v>
      </c>
    </row>
    <row r="1600" spans="1:11" x14ac:dyDescent="0.35">
      <c r="A1600" s="3" t="s">
        <v>3885</v>
      </c>
      <c r="B1600" s="1" t="s">
        <v>3901</v>
      </c>
      <c r="C1600" s="1" t="s">
        <v>3914</v>
      </c>
      <c r="D1600" s="1" t="str">
        <f>"5330"</f>
        <v>5330</v>
      </c>
      <c r="E1600" s="1" t="str">
        <f>"011157845"</f>
        <v>011157845</v>
      </c>
      <c r="F1600" s="1" t="s">
        <v>3915</v>
      </c>
      <c r="G1600" s="3" t="s">
        <v>1632</v>
      </c>
      <c r="H1600" s="3" t="str">
        <f>"3"</f>
        <v>3</v>
      </c>
      <c r="I1600" s="4">
        <v>1679.19</v>
      </c>
      <c r="J1600" s="2">
        <v>45887</v>
      </c>
      <c r="K1600" s="1" t="s">
        <v>3916</v>
      </c>
    </row>
    <row r="1601" spans="1:11" x14ac:dyDescent="0.35">
      <c r="A1601" s="3" t="s">
        <v>3885</v>
      </c>
      <c r="B1601" s="1" t="s">
        <v>3901</v>
      </c>
      <c r="C1601" s="1" t="s">
        <v>3920</v>
      </c>
      <c r="D1601" s="1" t="str">
        <f>"5895"</f>
        <v>5895</v>
      </c>
      <c r="E1601" s="1" t="str">
        <f>"016011977"</f>
        <v>016011977</v>
      </c>
      <c r="F1601" s="1" t="s">
        <v>3921</v>
      </c>
      <c r="G1601" s="3" t="s">
        <v>15</v>
      </c>
      <c r="H1601" s="3" t="str">
        <f>"1"</f>
        <v>1</v>
      </c>
      <c r="I1601" s="4">
        <v>161.16999999999999</v>
      </c>
      <c r="J1601" s="2">
        <v>45887</v>
      </c>
      <c r="K1601" s="1" t="s">
        <v>3922</v>
      </c>
    </row>
    <row r="1602" spans="1:11" x14ac:dyDescent="0.35">
      <c r="A1602" s="3" t="s">
        <v>3885</v>
      </c>
      <c r="B1602" s="1" t="s">
        <v>3901</v>
      </c>
      <c r="C1602" s="1" t="s">
        <v>3923</v>
      </c>
      <c r="D1602" s="1" t="str">
        <f>"6260"</f>
        <v>6260</v>
      </c>
      <c r="E1602" s="1" t="str">
        <f>"012094435"</f>
        <v>012094435</v>
      </c>
      <c r="F1602" s="1" t="s">
        <v>289</v>
      </c>
      <c r="G1602" s="3" t="s">
        <v>290</v>
      </c>
      <c r="H1602" s="3" t="str">
        <f>"147"</f>
        <v>147</v>
      </c>
      <c r="I1602" s="4">
        <v>37.299999999999997</v>
      </c>
      <c r="J1602" s="2">
        <v>45887</v>
      </c>
      <c r="K1602" s="1" t="s">
        <v>3924</v>
      </c>
    </row>
    <row r="1603" spans="1:11" x14ac:dyDescent="0.35">
      <c r="A1603" s="3" t="s">
        <v>3885</v>
      </c>
      <c r="B1603" s="1" t="s">
        <v>3901</v>
      </c>
      <c r="C1603" s="1" t="s">
        <v>3929</v>
      </c>
      <c r="D1603" s="1" t="str">
        <f>"7110"</f>
        <v>7110</v>
      </c>
      <c r="E1603" s="1" t="s">
        <v>2939</v>
      </c>
      <c r="F1603" s="1" t="s">
        <v>2940</v>
      </c>
      <c r="G1603" s="3" t="s">
        <v>15</v>
      </c>
      <c r="H1603" s="3" t="str">
        <f>"8"</f>
        <v>8</v>
      </c>
      <c r="I1603" s="4" t="str">
        <f>"100"</f>
        <v>100</v>
      </c>
      <c r="J1603" s="2">
        <v>45887</v>
      </c>
      <c r="K1603" s="1" t="s">
        <v>3930</v>
      </c>
    </row>
    <row r="1604" spans="1:11" x14ac:dyDescent="0.35">
      <c r="A1604" s="3" t="s">
        <v>3885</v>
      </c>
      <c r="B1604" s="1" t="s">
        <v>3901</v>
      </c>
      <c r="C1604" s="1" t="s">
        <v>3931</v>
      </c>
      <c r="D1604" s="1" t="str">
        <f>"7320"</f>
        <v>7320</v>
      </c>
      <c r="E1604" s="1" t="str">
        <f>"010435411"</f>
        <v>010435411</v>
      </c>
      <c r="F1604" s="1" t="s">
        <v>3932</v>
      </c>
      <c r="G1604" s="3" t="s">
        <v>15</v>
      </c>
      <c r="H1604" s="3" t="str">
        <f>"3"</f>
        <v>3</v>
      </c>
      <c r="I1604" s="4">
        <v>382.68</v>
      </c>
      <c r="J1604" s="2">
        <v>45887</v>
      </c>
      <c r="K1604" s="1" t="s">
        <v>3933</v>
      </c>
    </row>
    <row r="1605" spans="1:11" x14ac:dyDescent="0.35">
      <c r="A1605" s="3" t="s">
        <v>3885</v>
      </c>
      <c r="B1605" s="1" t="s">
        <v>3901</v>
      </c>
      <c r="C1605" s="1" t="s">
        <v>3934</v>
      </c>
      <c r="D1605" s="1" t="str">
        <f>"8145"</f>
        <v>8145</v>
      </c>
      <c r="E1605" s="1" t="s">
        <v>743</v>
      </c>
      <c r="F1605" s="1" t="s">
        <v>744</v>
      </c>
      <c r="G1605" s="3" t="s">
        <v>15</v>
      </c>
      <c r="H1605" s="3" t="str">
        <f>"2"</f>
        <v>2</v>
      </c>
      <c r="I1605" s="4" t="str">
        <f>"100"</f>
        <v>100</v>
      </c>
      <c r="J1605" s="2">
        <v>45887</v>
      </c>
      <c r="K1605" s="1" t="s">
        <v>3935</v>
      </c>
    </row>
    <row r="1606" spans="1:11" x14ac:dyDescent="0.35">
      <c r="A1606" s="3" t="s">
        <v>3885</v>
      </c>
      <c r="B1606" s="1" t="s">
        <v>3901</v>
      </c>
      <c r="C1606" s="1" t="s">
        <v>3944</v>
      </c>
      <c r="D1606" s="1" t="str">
        <f>"8415"</f>
        <v>8415</v>
      </c>
      <c r="E1606" s="1" t="str">
        <f>"016210185"</f>
        <v>016210185</v>
      </c>
      <c r="F1606" s="1" t="s">
        <v>3045</v>
      </c>
      <c r="G1606" s="3" t="s">
        <v>15</v>
      </c>
      <c r="H1606" s="3" t="str">
        <f>"1"</f>
        <v>1</v>
      </c>
      <c r="I1606" s="4">
        <v>129.13</v>
      </c>
      <c r="J1606" s="2">
        <v>45887</v>
      </c>
      <c r="K1606" s="1" t="s">
        <v>3945</v>
      </c>
    </row>
    <row r="1607" spans="1:11" x14ac:dyDescent="0.35">
      <c r="A1607" s="3" t="s">
        <v>3885</v>
      </c>
      <c r="B1607" s="1" t="s">
        <v>4022</v>
      </c>
      <c r="C1607" s="1" t="s">
        <v>4042</v>
      </c>
      <c r="D1607" s="1" t="str">
        <f>"2320"</f>
        <v>2320</v>
      </c>
      <c r="E1607" s="1" t="s">
        <v>321</v>
      </c>
      <c r="F1607" s="1" t="s">
        <v>322</v>
      </c>
      <c r="G1607" s="3" t="s">
        <v>15</v>
      </c>
      <c r="H1607" s="3" t="str">
        <f>"1"</f>
        <v>1</v>
      </c>
      <c r="I1607" s="4" t="str">
        <f>"15000"</f>
        <v>15000</v>
      </c>
      <c r="J1607" s="2">
        <v>45884</v>
      </c>
      <c r="K1607" s="1" t="s">
        <v>4043</v>
      </c>
    </row>
    <row r="1608" spans="1:11" x14ac:dyDescent="0.35">
      <c r="A1608" s="3" t="s">
        <v>3885</v>
      </c>
      <c r="B1608" s="1" t="s">
        <v>4022</v>
      </c>
      <c r="C1608" s="1" t="s">
        <v>4036</v>
      </c>
      <c r="D1608" s="1" t="str">
        <f>"2320"</f>
        <v>2320</v>
      </c>
      <c r="E1608" s="1" t="str">
        <f>"007529289"</f>
        <v>007529289</v>
      </c>
      <c r="F1608" s="1" t="s">
        <v>373</v>
      </c>
      <c r="G1608" s="3" t="s">
        <v>15</v>
      </c>
      <c r="H1608" s="3" t="str">
        <f>"1"</f>
        <v>1</v>
      </c>
      <c r="I1608" s="4" t="str">
        <f>"4202"</f>
        <v>4202</v>
      </c>
      <c r="J1608" s="2">
        <v>45881</v>
      </c>
      <c r="K1608" s="1" t="s">
        <v>4037</v>
      </c>
    </row>
    <row r="1609" spans="1:11" x14ac:dyDescent="0.35">
      <c r="A1609" s="3" t="s">
        <v>3885</v>
      </c>
      <c r="B1609" s="1" t="s">
        <v>3891</v>
      </c>
      <c r="C1609" s="1" t="s">
        <v>3892</v>
      </c>
      <c r="D1609" s="1" t="str">
        <f>"2310"</f>
        <v>2310</v>
      </c>
      <c r="E1609" s="1" t="s">
        <v>2377</v>
      </c>
      <c r="F1609" s="1" t="s">
        <v>2378</v>
      </c>
      <c r="G1609" s="3" t="s">
        <v>15</v>
      </c>
      <c r="H1609" s="3" t="str">
        <f>"1"</f>
        <v>1</v>
      </c>
      <c r="I1609" s="4">
        <v>26701.37</v>
      </c>
      <c r="J1609" s="2">
        <v>45880</v>
      </c>
      <c r="K1609" s="1" t="s">
        <v>4313</v>
      </c>
    </row>
    <row r="1610" spans="1:11" x14ac:dyDescent="0.35">
      <c r="A1610" s="3" t="s">
        <v>3885</v>
      </c>
      <c r="B1610" s="1" t="s">
        <v>3966</v>
      </c>
      <c r="C1610" s="1" t="s">
        <v>4012</v>
      </c>
      <c r="D1610" s="1" t="str">
        <f>"8465"</f>
        <v>8465</v>
      </c>
      <c r="E1610" s="1" t="str">
        <f>"015250585"</f>
        <v>015250585</v>
      </c>
      <c r="F1610" s="1" t="s">
        <v>4001</v>
      </c>
      <c r="G1610" s="3" t="s">
        <v>15</v>
      </c>
      <c r="H1610" s="3" t="str">
        <f>"19"</f>
        <v>19</v>
      </c>
      <c r="I1610" s="4">
        <v>13.06</v>
      </c>
      <c r="J1610" s="2">
        <v>45880</v>
      </c>
      <c r="K1610" s="1" t="s">
        <v>4013</v>
      </c>
    </row>
    <row r="1611" spans="1:11" x14ac:dyDescent="0.35">
      <c r="A1611" s="3" t="s">
        <v>3885</v>
      </c>
      <c r="B1611" s="1" t="s">
        <v>3966</v>
      </c>
      <c r="C1611" s="1" t="s">
        <v>4014</v>
      </c>
      <c r="D1611" s="1" t="str">
        <f>"8465"</f>
        <v>8465</v>
      </c>
      <c r="E1611" s="1" t="str">
        <f>"015250585"</f>
        <v>015250585</v>
      </c>
      <c r="F1611" s="1" t="s">
        <v>4001</v>
      </c>
      <c r="G1611" s="3" t="s">
        <v>15</v>
      </c>
      <c r="H1611" s="3" t="str">
        <f>"58"</f>
        <v>58</v>
      </c>
      <c r="I1611" s="4">
        <v>13.06</v>
      </c>
      <c r="J1611" s="2">
        <v>45880</v>
      </c>
      <c r="K1611" s="1" t="s">
        <v>4015</v>
      </c>
    </row>
    <row r="1612" spans="1:11" x14ac:dyDescent="0.35">
      <c r="A1612" s="3" t="s">
        <v>3885</v>
      </c>
      <c r="B1612" s="1" t="s">
        <v>3966</v>
      </c>
      <c r="C1612" s="1" t="s">
        <v>3967</v>
      </c>
      <c r="D1612" s="1" t="str">
        <f>"3990"</f>
        <v>3990</v>
      </c>
      <c r="E1612" s="1" t="str">
        <f>"016197774"</f>
        <v>016197774</v>
      </c>
      <c r="F1612" s="1" t="s">
        <v>2615</v>
      </c>
      <c r="G1612" s="3" t="s">
        <v>15</v>
      </c>
      <c r="H1612" s="3" t="str">
        <f>"12"</f>
        <v>12</v>
      </c>
      <c r="I1612" s="4">
        <v>155.37</v>
      </c>
      <c r="J1612" s="2">
        <v>45878</v>
      </c>
      <c r="K1612" s="1" t="s">
        <v>3968</v>
      </c>
    </row>
    <row r="1613" spans="1:11" x14ac:dyDescent="0.35">
      <c r="A1613" s="3" t="s">
        <v>3885</v>
      </c>
      <c r="B1613" s="1" t="s">
        <v>3966</v>
      </c>
      <c r="C1613" s="1" t="s">
        <v>3989</v>
      </c>
      <c r="D1613" s="1" t="str">
        <f>"8145"</f>
        <v>8145</v>
      </c>
      <c r="E1613" s="1" t="str">
        <f>"015900726"</f>
        <v>015900726</v>
      </c>
      <c r="F1613" s="1" t="s">
        <v>1353</v>
      </c>
      <c r="G1613" s="3" t="s">
        <v>15</v>
      </c>
      <c r="H1613" s="3" t="str">
        <f>"800"</f>
        <v>800</v>
      </c>
      <c r="I1613" s="4">
        <v>162.86000000000001</v>
      </c>
      <c r="J1613" s="2">
        <v>45878</v>
      </c>
      <c r="K1613" s="1" t="s">
        <v>3990</v>
      </c>
    </row>
    <row r="1614" spans="1:11" x14ac:dyDescent="0.35">
      <c r="A1614" s="3" t="s">
        <v>3885</v>
      </c>
      <c r="B1614" s="1" t="s">
        <v>4022</v>
      </c>
      <c r="C1614" s="1" t="s">
        <v>4038</v>
      </c>
      <c r="D1614" s="1" t="str">
        <f>"2320"</f>
        <v>2320</v>
      </c>
      <c r="E1614" s="1" t="s">
        <v>321</v>
      </c>
      <c r="F1614" s="1" t="s">
        <v>322</v>
      </c>
      <c r="G1614" s="3" t="s">
        <v>15</v>
      </c>
      <c r="H1614" s="3" t="str">
        <f>"1"</f>
        <v>1</v>
      </c>
      <c r="I1614" s="4" t="str">
        <f>"80000"</f>
        <v>80000</v>
      </c>
      <c r="J1614" s="2">
        <v>45876</v>
      </c>
      <c r="K1614" s="1" t="s">
        <v>4039</v>
      </c>
    </row>
    <row r="1615" spans="1:11" x14ac:dyDescent="0.35">
      <c r="A1615" s="3" t="s">
        <v>3885</v>
      </c>
      <c r="B1615" s="1" t="s">
        <v>4022</v>
      </c>
      <c r="C1615" s="1" t="s">
        <v>4052</v>
      </c>
      <c r="D1615" s="1" t="str">
        <f>"3805"</f>
        <v>3805</v>
      </c>
      <c r="E1615" s="1" t="s">
        <v>2913</v>
      </c>
      <c r="F1615" s="1" t="s">
        <v>2914</v>
      </c>
      <c r="G1615" s="3" t="s">
        <v>15</v>
      </c>
      <c r="H1615" s="3" t="str">
        <f>"1"</f>
        <v>1</v>
      </c>
      <c r="I1615" s="4" t="str">
        <f>"35000"</f>
        <v>35000</v>
      </c>
      <c r="J1615" s="2">
        <v>45876</v>
      </c>
      <c r="K1615" s="1" t="s">
        <v>4053</v>
      </c>
    </row>
    <row r="1616" spans="1:11" x14ac:dyDescent="0.35">
      <c r="A1616" s="3" t="s">
        <v>3885</v>
      </c>
      <c r="B1616" s="1" t="s">
        <v>3966</v>
      </c>
      <c r="C1616" s="1" t="s">
        <v>3969</v>
      </c>
      <c r="D1616" s="1" t="str">
        <f>"4010"</f>
        <v>4010</v>
      </c>
      <c r="E1616" s="1" t="str">
        <f>"011850406"</f>
        <v>011850406</v>
      </c>
      <c r="F1616" s="1" t="s">
        <v>3386</v>
      </c>
      <c r="G1616" s="3" t="s">
        <v>15</v>
      </c>
      <c r="H1616" s="3" t="str">
        <f>"8"</f>
        <v>8</v>
      </c>
      <c r="I1616" s="4">
        <v>282.72000000000003</v>
      </c>
      <c r="J1616" s="2">
        <v>45873</v>
      </c>
      <c r="K1616" s="1" t="s">
        <v>3970</v>
      </c>
    </row>
    <row r="1617" spans="1:11" x14ac:dyDescent="0.35">
      <c r="A1617" s="3" t="s">
        <v>3885</v>
      </c>
      <c r="B1617" s="1" t="s">
        <v>3966</v>
      </c>
      <c r="C1617" s="1" t="s">
        <v>4010</v>
      </c>
      <c r="D1617" s="1" t="str">
        <f>"8465"</f>
        <v>8465</v>
      </c>
      <c r="E1617" s="1" t="str">
        <f>"001656838"</f>
        <v>001656838</v>
      </c>
      <c r="F1617" s="1" t="s">
        <v>4006</v>
      </c>
      <c r="G1617" s="3" t="s">
        <v>15</v>
      </c>
      <c r="H1617" s="3" t="str">
        <f>"38"</f>
        <v>38</v>
      </c>
      <c r="I1617" s="4">
        <v>26.2</v>
      </c>
      <c r="J1617" s="2">
        <v>45870</v>
      </c>
      <c r="K1617" s="1" t="s">
        <v>4011</v>
      </c>
    </row>
    <row r="1618" spans="1:11" x14ac:dyDescent="0.35">
      <c r="A1618" s="3" t="s">
        <v>3885</v>
      </c>
      <c r="B1618" s="1" t="s">
        <v>3966</v>
      </c>
      <c r="C1618" s="1" t="s">
        <v>3986</v>
      </c>
      <c r="D1618" s="1" t="str">
        <f>"7510"</f>
        <v>7510</v>
      </c>
      <c r="E1618" s="1" t="str">
        <f>"002666710"</f>
        <v>002666710</v>
      </c>
      <c r="F1618" s="1" t="s">
        <v>3987</v>
      </c>
      <c r="G1618" s="3" t="s">
        <v>532</v>
      </c>
      <c r="H1618" s="3" t="str">
        <f>"750"</f>
        <v>750</v>
      </c>
      <c r="I1618" s="4">
        <v>6.14</v>
      </c>
      <c r="J1618" s="2">
        <v>45865</v>
      </c>
      <c r="K1618" s="1" t="s">
        <v>3988</v>
      </c>
    </row>
    <row r="1619" spans="1:11" x14ac:dyDescent="0.35">
      <c r="A1619" s="3" t="s">
        <v>3885</v>
      </c>
      <c r="B1619" s="1" t="s">
        <v>4022</v>
      </c>
      <c r="C1619" s="1" t="s">
        <v>4023</v>
      </c>
      <c r="D1619" s="1" t="str">
        <f>"2310"</f>
        <v>2310</v>
      </c>
      <c r="E1619" s="1" t="s">
        <v>2222</v>
      </c>
      <c r="F1619" s="1" t="s">
        <v>2223</v>
      </c>
      <c r="G1619" s="3" t="s">
        <v>15</v>
      </c>
      <c r="H1619" s="3" t="str">
        <f>"1"</f>
        <v>1</v>
      </c>
      <c r="I1619" s="4" t="str">
        <f>"22695"</f>
        <v>22695</v>
      </c>
      <c r="J1619" s="2">
        <v>45865</v>
      </c>
      <c r="K1619" s="1" t="s">
        <v>4024</v>
      </c>
    </row>
    <row r="1620" spans="1:11" x14ac:dyDescent="0.35">
      <c r="A1620" s="3" t="s">
        <v>3885</v>
      </c>
      <c r="B1620" s="1" t="s">
        <v>4022</v>
      </c>
      <c r="C1620" s="1" t="s">
        <v>4025</v>
      </c>
      <c r="D1620" s="1" t="str">
        <f>"2310"</f>
        <v>2310</v>
      </c>
      <c r="E1620" s="1" t="s">
        <v>413</v>
      </c>
      <c r="F1620" s="1" t="s">
        <v>414</v>
      </c>
      <c r="G1620" s="3" t="s">
        <v>15</v>
      </c>
      <c r="H1620" s="3" t="str">
        <f>"1"</f>
        <v>1</v>
      </c>
      <c r="I1620" s="4" t="str">
        <f>"14650"</f>
        <v>14650</v>
      </c>
      <c r="J1620" s="2">
        <v>45865</v>
      </c>
      <c r="K1620" s="1" t="s">
        <v>4026</v>
      </c>
    </row>
    <row r="1621" spans="1:11" x14ac:dyDescent="0.35">
      <c r="A1621" s="3" t="s">
        <v>3885</v>
      </c>
      <c r="B1621" s="1" t="s">
        <v>4022</v>
      </c>
      <c r="C1621" s="1" t="s">
        <v>4046</v>
      </c>
      <c r="D1621" s="1" t="str">
        <f>"2330"</f>
        <v>2330</v>
      </c>
      <c r="E1621" s="1" t="str">
        <f>"012171477"</f>
        <v>012171477</v>
      </c>
      <c r="F1621" s="1" t="s">
        <v>2230</v>
      </c>
      <c r="G1621" s="3" t="s">
        <v>15</v>
      </c>
      <c r="H1621" s="3" t="str">
        <f>"1"</f>
        <v>1</v>
      </c>
      <c r="I1621" s="4">
        <v>36988.65</v>
      </c>
      <c r="J1621" s="2">
        <v>45863</v>
      </c>
      <c r="K1621" s="1" t="s">
        <v>4047</v>
      </c>
    </row>
    <row r="1622" spans="1:11" x14ac:dyDescent="0.35">
      <c r="A1622" s="3" t="s">
        <v>3885</v>
      </c>
      <c r="B1622" s="1" t="s">
        <v>3952</v>
      </c>
      <c r="C1622" s="1" t="s">
        <v>3958</v>
      </c>
      <c r="D1622" s="1" t="str">
        <f>"2320"</f>
        <v>2320</v>
      </c>
      <c r="E1622" s="1" t="str">
        <f>"010907828"</f>
        <v>010907828</v>
      </c>
      <c r="F1622" s="1" t="s">
        <v>604</v>
      </c>
      <c r="G1622" s="3" t="s">
        <v>15</v>
      </c>
      <c r="H1622" s="3" t="str">
        <f>"2"</f>
        <v>2</v>
      </c>
      <c r="I1622" s="4" t="str">
        <f>"18287"</f>
        <v>18287</v>
      </c>
      <c r="J1622" s="2">
        <v>45856</v>
      </c>
      <c r="K1622" s="1" t="s">
        <v>3959</v>
      </c>
    </row>
    <row r="1623" spans="1:11" x14ac:dyDescent="0.35">
      <c r="A1623" s="3" t="s">
        <v>3885</v>
      </c>
      <c r="B1623" s="1" t="s">
        <v>4022</v>
      </c>
      <c r="C1623" s="1" t="s">
        <v>4058</v>
      </c>
      <c r="D1623" s="1" t="str">
        <f>"3990"</f>
        <v>3990</v>
      </c>
      <c r="E1623" s="1" t="str">
        <f>"011217758"</f>
        <v>011217758</v>
      </c>
      <c r="F1623" s="1" t="s">
        <v>4059</v>
      </c>
      <c r="G1623" s="3" t="s">
        <v>15</v>
      </c>
      <c r="H1623" s="3" t="str">
        <f>"1"</f>
        <v>1</v>
      </c>
      <c r="I1623" s="4" t="str">
        <f>"7229"</f>
        <v>7229</v>
      </c>
      <c r="J1623" s="2">
        <v>45856</v>
      </c>
      <c r="K1623" s="1" t="s">
        <v>4060</v>
      </c>
    </row>
    <row r="1624" spans="1:11" x14ac:dyDescent="0.35">
      <c r="A1624" s="3" t="s">
        <v>3885</v>
      </c>
      <c r="B1624" s="1" t="s">
        <v>3901</v>
      </c>
      <c r="C1624" s="1" t="s">
        <v>3907</v>
      </c>
      <c r="D1624" s="1" t="str">
        <f>"4220"</f>
        <v>4220</v>
      </c>
      <c r="E1624" s="1" t="str">
        <f>"014159817"</f>
        <v>014159817</v>
      </c>
      <c r="F1624" s="1" t="s">
        <v>158</v>
      </c>
      <c r="G1624" s="3" t="s">
        <v>15</v>
      </c>
      <c r="H1624" s="3" t="str">
        <f>"8"</f>
        <v>8</v>
      </c>
      <c r="I1624" s="4">
        <v>61.19</v>
      </c>
      <c r="J1624" s="2">
        <v>45850</v>
      </c>
      <c r="K1624" s="1" t="s">
        <v>3908</v>
      </c>
    </row>
    <row r="1625" spans="1:11" x14ac:dyDescent="0.35">
      <c r="A1625" s="3" t="s">
        <v>3885</v>
      </c>
      <c r="B1625" s="1" t="s">
        <v>3901</v>
      </c>
      <c r="C1625" s="1" t="s">
        <v>3909</v>
      </c>
      <c r="D1625" s="1" t="str">
        <f>"4235"</f>
        <v>4235</v>
      </c>
      <c r="E1625" s="1" t="str">
        <f>"016282149"</f>
        <v>016282149</v>
      </c>
      <c r="F1625" s="1" t="s">
        <v>3910</v>
      </c>
      <c r="G1625" s="3" t="s">
        <v>19</v>
      </c>
      <c r="H1625" s="3" t="str">
        <f>"1"</f>
        <v>1</v>
      </c>
      <c r="I1625" s="4">
        <v>357.79</v>
      </c>
      <c r="J1625" s="2">
        <v>45850</v>
      </c>
      <c r="K1625" s="1" t="s">
        <v>3911</v>
      </c>
    </row>
    <row r="1626" spans="1:11" x14ac:dyDescent="0.35">
      <c r="A1626" s="3" t="s">
        <v>3885</v>
      </c>
      <c r="B1626" s="1" t="s">
        <v>3901</v>
      </c>
      <c r="C1626" s="1" t="s">
        <v>3917</v>
      </c>
      <c r="D1626" s="1" t="str">
        <f>"5411"</f>
        <v>5411</v>
      </c>
      <c r="E1626" s="1" t="str">
        <f>"015877632"</f>
        <v>015877632</v>
      </c>
      <c r="F1626" s="1" t="s">
        <v>3918</v>
      </c>
      <c r="G1626" s="3" t="s">
        <v>19</v>
      </c>
      <c r="H1626" s="3" t="str">
        <f>"1"</f>
        <v>1</v>
      </c>
      <c r="I1626" s="4">
        <v>507.04</v>
      </c>
      <c r="J1626" s="2">
        <v>45850</v>
      </c>
      <c r="K1626" s="1" t="s">
        <v>3919</v>
      </c>
    </row>
    <row r="1627" spans="1:11" x14ac:dyDescent="0.35">
      <c r="A1627" s="3" t="s">
        <v>3885</v>
      </c>
      <c r="B1627" s="1" t="s">
        <v>3901</v>
      </c>
      <c r="C1627" s="1" t="s">
        <v>3925</v>
      </c>
      <c r="D1627" s="1" t="str">
        <f>"6910"</f>
        <v>6910</v>
      </c>
      <c r="E1627" s="1" t="s">
        <v>3926</v>
      </c>
      <c r="F1627" s="1" t="s">
        <v>3927</v>
      </c>
      <c r="G1627" s="3" t="s">
        <v>15</v>
      </c>
      <c r="H1627" s="3" t="str">
        <f>"1"</f>
        <v>1</v>
      </c>
      <c r="I1627" s="4" t="str">
        <f>"78000"</f>
        <v>78000</v>
      </c>
      <c r="J1627" s="2">
        <v>45850</v>
      </c>
      <c r="K1627" s="1" t="s">
        <v>3928</v>
      </c>
    </row>
    <row r="1628" spans="1:11" x14ac:dyDescent="0.35">
      <c r="A1628" s="3" t="s">
        <v>3885</v>
      </c>
      <c r="B1628" s="1" t="s">
        <v>3901</v>
      </c>
      <c r="C1628" s="1" t="s">
        <v>3936</v>
      </c>
      <c r="D1628" s="1" t="str">
        <f>"8340"</f>
        <v>8340</v>
      </c>
      <c r="E1628" s="1" t="s">
        <v>3937</v>
      </c>
      <c r="F1628" s="1" t="s">
        <v>3938</v>
      </c>
      <c r="G1628" s="3" t="s">
        <v>15</v>
      </c>
      <c r="H1628" s="3" t="str">
        <f>"2"</f>
        <v>2</v>
      </c>
      <c r="I1628" s="4" t="str">
        <f>"20"</f>
        <v>20</v>
      </c>
      <c r="J1628" s="2">
        <v>45850</v>
      </c>
      <c r="K1628" s="1" t="s">
        <v>3939</v>
      </c>
    </row>
    <row r="1629" spans="1:11" x14ac:dyDescent="0.35">
      <c r="A1629" s="3" t="s">
        <v>3885</v>
      </c>
      <c r="B1629" s="1" t="s">
        <v>3901</v>
      </c>
      <c r="C1629" s="1" t="s">
        <v>3940</v>
      </c>
      <c r="D1629" s="1" t="str">
        <f>"8415"</f>
        <v>8415</v>
      </c>
      <c r="E1629" s="1" t="str">
        <f>"015467550"</f>
        <v>015467550</v>
      </c>
      <c r="F1629" s="1" t="s">
        <v>839</v>
      </c>
      <c r="G1629" s="3" t="s">
        <v>15</v>
      </c>
      <c r="H1629" s="3" t="str">
        <f>"5"</f>
        <v>5</v>
      </c>
      <c r="I1629" s="4">
        <v>75.39</v>
      </c>
      <c r="J1629" s="2">
        <v>45850</v>
      </c>
      <c r="K1629" s="1" t="s">
        <v>3941</v>
      </c>
    </row>
    <row r="1630" spans="1:11" x14ac:dyDescent="0.35">
      <c r="A1630" s="3" t="s">
        <v>3885</v>
      </c>
      <c r="B1630" s="1" t="s">
        <v>3901</v>
      </c>
      <c r="C1630" s="1" t="s">
        <v>3942</v>
      </c>
      <c r="D1630" s="1" t="str">
        <f>"8415"</f>
        <v>8415</v>
      </c>
      <c r="E1630" s="1" t="str">
        <f>"016072913"</f>
        <v>016072913</v>
      </c>
      <c r="F1630" s="1" t="s">
        <v>3943</v>
      </c>
      <c r="G1630" s="3" t="s">
        <v>15</v>
      </c>
      <c r="H1630" s="3" t="str">
        <f>"3"</f>
        <v>3</v>
      </c>
      <c r="I1630" s="4">
        <v>108.81</v>
      </c>
      <c r="J1630" s="2">
        <v>45850</v>
      </c>
      <c r="K1630" s="1" t="s">
        <v>3941</v>
      </c>
    </row>
    <row r="1631" spans="1:11" x14ac:dyDescent="0.35">
      <c r="A1631" s="3" t="s">
        <v>3885</v>
      </c>
      <c r="B1631" s="1" t="s">
        <v>3901</v>
      </c>
      <c r="C1631" s="1" t="s">
        <v>3946</v>
      </c>
      <c r="D1631" s="1" t="str">
        <f>"8415"</f>
        <v>8415</v>
      </c>
      <c r="E1631" s="1" t="str">
        <f>"015459542"</f>
        <v>015459542</v>
      </c>
      <c r="F1631" s="1" t="s">
        <v>973</v>
      </c>
      <c r="G1631" s="3" t="s">
        <v>15</v>
      </c>
      <c r="H1631" s="3" t="str">
        <f>"9"</f>
        <v>9</v>
      </c>
      <c r="I1631" s="4">
        <v>143.46</v>
      </c>
      <c r="J1631" s="2">
        <v>45850</v>
      </c>
      <c r="K1631" s="1" t="s">
        <v>3941</v>
      </c>
    </row>
    <row r="1632" spans="1:11" x14ac:dyDescent="0.35">
      <c r="A1632" s="3" t="s">
        <v>3885</v>
      </c>
      <c r="B1632" s="1" t="s">
        <v>3901</v>
      </c>
      <c r="C1632" s="1" t="s">
        <v>3947</v>
      </c>
      <c r="D1632" s="1" t="str">
        <f>"8465"</f>
        <v>8465</v>
      </c>
      <c r="E1632" s="1" t="str">
        <f>"015516852"</f>
        <v>015516852</v>
      </c>
      <c r="F1632" s="1" t="s">
        <v>3948</v>
      </c>
      <c r="G1632" s="3" t="s">
        <v>15</v>
      </c>
      <c r="H1632" s="3" t="str">
        <f>"1"</f>
        <v>1</v>
      </c>
      <c r="I1632" s="4">
        <v>84.61</v>
      </c>
      <c r="J1632" s="2">
        <v>45850</v>
      </c>
      <c r="K1632" s="1" t="s">
        <v>3949</v>
      </c>
    </row>
    <row r="1633" spans="1:11" x14ac:dyDescent="0.35">
      <c r="A1633" s="3" t="s">
        <v>3885</v>
      </c>
      <c r="B1633" s="1" t="s">
        <v>3901</v>
      </c>
      <c r="C1633" s="1" t="s">
        <v>3950</v>
      </c>
      <c r="D1633" s="1" t="str">
        <f>"8465"</f>
        <v>8465</v>
      </c>
      <c r="E1633" s="1" t="str">
        <f>"015248362"</f>
        <v>015248362</v>
      </c>
      <c r="F1633" s="1" t="s">
        <v>2112</v>
      </c>
      <c r="G1633" s="3" t="s">
        <v>15</v>
      </c>
      <c r="H1633" s="3" t="str">
        <f>"6"</f>
        <v>6</v>
      </c>
      <c r="I1633" s="4">
        <v>34.479999999999997</v>
      </c>
      <c r="J1633" s="2">
        <v>45850</v>
      </c>
      <c r="K1633" s="1" t="s">
        <v>3951</v>
      </c>
    </row>
    <row r="1634" spans="1:11" x14ac:dyDescent="0.35">
      <c r="A1634" s="3" t="s">
        <v>3885</v>
      </c>
      <c r="B1634" s="1" t="s">
        <v>3891</v>
      </c>
      <c r="C1634" s="1" t="s">
        <v>3893</v>
      </c>
      <c r="D1634" s="1" t="str">
        <f>"5855"</f>
        <v>5855</v>
      </c>
      <c r="E1634" s="1" t="s">
        <v>285</v>
      </c>
      <c r="F1634" s="1" t="s">
        <v>286</v>
      </c>
      <c r="G1634" s="3" t="s">
        <v>15</v>
      </c>
      <c r="H1634" s="3" t="str">
        <f>"3"</f>
        <v>3</v>
      </c>
      <c r="I1634" s="4" t="str">
        <f>"15794"</f>
        <v>15794</v>
      </c>
      <c r="J1634" s="2">
        <v>45849</v>
      </c>
      <c r="K1634" s="1" t="s">
        <v>3894</v>
      </c>
    </row>
    <row r="1635" spans="1:11" x14ac:dyDescent="0.35">
      <c r="A1635" s="3" t="s">
        <v>3885</v>
      </c>
      <c r="B1635" s="1" t="s">
        <v>4022</v>
      </c>
      <c r="C1635" s="1" t="s">
        <v>4056</v>
      </c>
      <c r="D1635" s="1" t="str">
        <f>"3930"</f>
        <v>3930</v>
      </c>
      <c r="E1635" s="1" t="s">
        <v>1706</v>
      </c>
      <c r="F1635" s="1" t="s">
        <v>1707</v>
      </c>
      <c r="G1635" s="3" t="s">
        <v>15</v>
      </c>
      <c r="H1635" s="3" t="str">
        <f>"1"</f>
        <v>1</v>
      </c>
      <c r="I1635" s="4" t="str">
        <f>"84000"</f>
        <v>84000</v>
      </c>
      <c r="J1635" s="2">
        <v>45849</v>
      </c>
      <c r="K1635" s="1" t="s">
        <v>4057</v>
      </c>
    </row>
    <row r="1636" spans="1:11" x14ac:dyDescent="0.35">
      <c r="A1636" s="3" t="s">
        <v>3885</v>
      </c>
      <c r="B1636" s="1" t="s">
        <v>4022</v>
      </c>
      <c r="C1636" s="1" t="s">
        <v>4054</v>
      </c>
      <c r="D1636" s="1" t="str">
        <f>"3930"</f>
        <v>3930</v>
      </c>
      <c r="E1636" s="1" t="s">
        <v>1706</v>
      </c>
      <c r="F1636" s="1" t="s">
        <v>1707</v>
      </c>
      <c r="G1636" s="3" t="s">
        <v>15</v>
      </c>
      <c r="H1636" s="3" t="str">
        <f>"1"</f>
        <v>1</v>
      </c>
      <c r="I1636" s="4" t="str">
        <f>"80000"</f>
        <v>80000</v>
      </c>
      <c r="J1636" s="2">
        <v>45847</v>
      </c>
      <c r="K1636" s="1" t="s">
        <v>4055</v>
      </c>
    </row>
    <row r="1637" spans="1:11" x14ac:dyDescent="0.35">
      <c r="A1637" s="3" t="s">
        <v>3885</v>
      </c>
      <c r="B1637" s="1" t="s">
        <v>4022</v>
      </c>
      <c r="C1637" s="1" t="s">
        <v>4027</v>
      </c>
      <c r="D1637" s="1" t="str">
        <f>"2320"</f>
        <v>2320</v>
      </c>
      <c r="E1637" s="1" t="str">
        <f>"010948229"</f>
        <v>010948229</v>
      </c>
      <c r="F1637" s="1" t="s">
        <v>373</v>
      </c>
      <c r="G1637" s="3" t="s">
        <v>15</v>
      </c>
      <c r="H1637" s="3" t="str">
        <f>"1"</f>
        <v>1</v>
      </c>
      <c r="I1637" s="4">
        <v>9989.75</v>
      </c>
      <c r="J1637" s="2">
        <v>45840</v>
      </c>
      <c r="K1637" s="1" t="s">
        <v>4028</v>
      </c>
    </row>
    <row r="1638" spans="1:11" x14ac:dyDescent="0.35">
      <c r="A1638" s="3" t="s">
        <v>3885</v>
      </c>
      <c r="B1638" s="1" t="s">
        <v>4022</v>
      </c>
      <c r="C1638" s="1" t="s">
        <v>4040</v>
      </c>
      <c r="D1638" s="1" t="str">
        <f>"2320"</f>
        <v>2320</v>
      </c>
      <c r="E1638" s="1" t="str">
        <f>"015761809"</f>
        <v>015761809</v>
      </c>
      <c r="F1638" s="1" t="s">
        <v>1799</v>
      </c>
      <c r="G1638" s="3" t="s">
        <v>15</v>
      </c>
      <c r="H1638" s="3" t="str">
        <f>"1"</f>
        <v>1</v>
      </c>
      <c r="I1638" s="4" t="str">
        <f>"13600"</f>
        <v>13600</v>
      </c>
      <c r="J1638" s="2">
        <v>45840</v>
      </c>
      <c r="K1638" s="1" t="s">
        <v>4041</v>
      </c>
    </row>
    <row r="1639" spans="1:11" x14ac:dyDescent="0.35">
      <c r="A1639" s="3" t="s">
        <v>3885</v>
      </c>
      <c r="B1639" s="1" t="s">
        <v>4022</v>
      </c>
      <c r="C1639" s="1" t="s">
        <v>4044</v>
      </c>
      <c r="D1639" s="1" t="str">
        <f>"2320"</f>
        <v>2320</v>
      </c>
      <c r="E1639" s="1" t="str">
        <f>"010907831"</f>
        <v>010907831</v>
      </c>
      <c r="F1639" s="1" t="s">
        <v>1799</v>
      </c>
      <c r="G1639" s="3" t="s">
        <v>15</v>
      </c>
      <c r="H1639" s="3" t="str">
        <f>"1"</f>
        <v>1</v>
      </c>
      <c r="I1639" s="4" t="str">
        <f>"15000"</f>
        <v>15000</v>
      </c>
      <c r="J1639" s="2">
        <v>45839</v>
      </c>
      <c r="K1639" s="1" t="s">
        <v>4045</v>
      </c>
    </row>
    <row r="1640" spans="1:11" x14ac:dyDescent="0.35">
      <c r="A1640" s="3" t="s">
        <v>4087</v>
      </c>
      <c r="B1640" s="1" t="s">
        <v>4093</v>
      </c>
      <c r="C1640" s="1" t="s">
        <v>4094</v>
      </c>
      <c r="D1640" s="1" t="str">
        <f>"3990"</f>
        <v>3990</v>
      </c>
      <c r="E1640" s="1" t="s">
        <v>154</v>
      </c>
      <c r="F1640" s="1" t="s">
        <v>155</v>
      </c>
      <c r="G1640" s="3" t="s">
        <v>15</v>
      </c>
      <c r="H1640" s="3" t="str">
        <f>"1"</f>
        <v>1</v>
      </c>
      <c r="I1640" s="4" t="str">
        <f>"8850"</f>
        <v>8850</v>
      </c>
      <c r="J1640" s="2">
        <v>45925</v>
      </c>
      <c r="K1640" s="1" t="s">
        <v>4095</v>
      </c>
    </row>
    <row r="1641" spans="1:11" x14ac:dyDescent="0.35">
      <c r="A1641" s="3" t="s">
        <v>4087</v>
      </c>
      <c r="B1641" s="1" t="s">
        <v>4093</v>
      </c>
      <c r="C1641" s="1" t="s">
        <v>4102</v>
      </c>
      <c r="D1641" s="1" t="str">
        <f>"5440"</f>
        <v>5440</v>
      </c>
      <c r="E1641" s="1" t="str">
        <f>"010488638"</f>
        <v>010488638</v>
      </c>
      <c r="F1641" s="1" t="s">
        <v>4103</v>
      </c>
      <c r="G1641" s="3" t="s">
        <v>15</v>
      </c>
      <c r="H1641" s="3" t="str">
        <f>"1"</f>
        <v>1</v>
      </c>
      <c r="I1641" s="4">
        <v>1360.78</v>
      </c>
      <c r="J1641" s="2">
        <v>45925</v>
      </c>
      <c r="K1641" s="1" t="s">
        <v>4104</v>
      </c>
    </row>
    <row r="1642" spans="1:11" x14ac:dyDescent="0.35">
      <c r="A1642" s="3" t="s">
        <v>4087</v>
      </c>
      <c r="B1642" s="1" t="s">
        <v>4093</v>
      </c>
      <c r="C1642" s="1" t="s">
        <v>4105</v>
      </c>
      <c r="D1642" s="1" t="str">
        <f>"5440"</f>
        <v>5440</v>
      </c>
      <c r="E1642" s="1" t="str">
        <f>"010488638"</f>
        <v>010488638</v>
      </c>
      <c r="F1642" s="1" t="s">
        <v>4103</v>
      </c>
      <c r="G1642" s="3" t="s">
        <v>15</v>
      </c>
      <c r="H1642" s="3" t="str">
        <f>"1"</f>
        <v>1</v>
      </c>
      <c r="I1642" s="4">
        <v>1360.78</v>
      </c>
      <c r="J1642" s="2">
        <v>45925</v>
      </c>
      <c r="K1642" s="1" t="s">
        <v>4104</v>
      </c>
    </row>
    <row r="1643" spans="1:11" x14ac:dyDescent="0.35">
      <c r="A1643" s="3" t="s">
        <v>4087</v>
      </c>
      <c r="B1643" s="1" t="s">
        <v>4093</v>
      </c>
      <c r="C1643" s="1" t="s">
        <v>4109</v>
      </c>
      <c r="D1643" s="1" t="str">
        <f>"6650"</f>
        <v>6650</v>
      </c>
      <c r="E1643" s="1" t="s">
        <v>3823</v>
      </c>
      <c r="F1643" s="1" t="s">
        <v>3824</v>
      </c>
      <c r="G1643" s="3" t="s">
        <v>15</v>
      </c>
      <c r="H1643" s="3" t="str">
        <f>"7"</f>
        <v>7</v>
      </c>
      <c r="I1643" s="4">
        <v>748.11</v>
      </c>
      <c r="J1643" s="2">
        <v>45925</v>
      </c>
      <c r="K1643" s="1" t="s">
        <v>4110</v>
      </c>
    </row>
    <row r="1644" spans="1:11" x14ac:dyDescent="0.35">
      <c r="A1644" s="3" t="s">
        <v>4087</v>
      </c>
      <c r="B1644" s="1" t="s">
        <v>4093</v>
      </c>
      <c r="C1644" s="1" t="s">
        <v>4112</v>
      </c>
      <c r="D1644" s="1" t="str">
        <f>"6760"</f>
        <v>6760</v>
      </c>
      <c r="E1644" s="1" t="str">
        <f>"014644252"</f>
        <v>014644252</v>
      </c>
      <c r="F1644" s="1" t="s">
        <v>886</v>
      </c>
      <c r="G1644" s="3" t="s">
        <v>15</v>
      </c>
      <c r="H1644" s="3" t="str">
        <f>"1"</f>
        <v>1</v>
      </c>
      <c r="I1644" s="4">
        <v>187.44</v>
      </c>
      <c r="J1644" s="2">
        <v>45925</v>
      </c>
      <c r="K1644" s="1" t="s">
        <v>4113</v>
      </c>
    </row>
    <row r="1645" spans="1:11" x14ac:dyDescent="0.35">
      <c r="A1645" s="3" t="s">
        <v>4087</v>
      </c>
      <c r="B1645" s="1" t="s">
        <v>4121</v>
      </c>
      <c r="C1645" s="1" t="s">
        <v>4124</v>
      </c>
      <c r="D1645" s="1" t="str">
        <f>"6230"</f>
        <v>6230</v>
      </c>
      <c r="E1645" s="1" t="str">
        <f>"010394988"</f>
        <v>010394988</v>
      </c>
      <c r="F1645" s="1" t="s">
        <v>1397</v>
      </c>
      <c r="G1645" s="3" t="s">
        <v>58</v>
      </c>
      <c r="H1645" s="3" t="str">
        <f>"6"</f>
        <v>6</v>
      </c>
      <c r="I1645" s="4" t="str">
        <f>"4489"</f>
        <v>4489</v>
      </c>
      <c r="J1645" s="2">
        <v>45925</v>
      </c>
      <c r="K1645" s="1" t="s">
        <v>4125</v>
      </c>
    </row>
    <row r="1646" spans="1:11" x14ac:dyDescent="0.35">
      <c r="A1646" s="3" t="s">
        <v>4087</v>
      </c>
      <c r="B1646" s="1" t="s">
        <v>4143</v>
      </c>
      <c r="C1646" s="1" t="s">
        <v>4158</v>
      </c>
      <c r="D1646" s="1" t="str">
        <f>"5965"</f>
        <v>5965</v>
      </c>
      <c r="E1646" s="1" t="str">
        <f>"226296584"</f>
        <v>226296584</v>
      </c>
      <c r="F1646" s="1" t="s">
        <v>1389</v>
      </c>
      <c r="G1646" s="3" t="s">
        <v>15</v>
      </c>
      <c r="H1646" s="3" t="str">
        <f>"3"</f>
        <v>3</v>
      </c>
      <c r="I1646" s="4">
        <v>1567.84</v>
      </c>
      <c r="J1646" s="2">
        <v>45925</v>
      </c>
      <c r="K1646" s="1" t="s">
        <v>4159</v>
      </c>
    </row>
    <row r="1647" spans="1:11" x14ac:dyDescent="0.35">
      <c r="A1647" s="3" t="s">
        <v>4087</v>
      </c>
      <c r="B1647" s="1" t="s">
        <v>4143</v>
      </c>
      <c r="C1647" s="1" t="s">
        <v>4160</v>
      </c>
      <c r="D1647" s="1" t="str">
        <f>"5965"</f>
        <v>5965</v>
      </c>
      <c r="E1647" s="1" t="str">
        <f>"226296584"</f>
        <v>226296584</v>
      </c>
      <c r="F1647" s="1" t="s">
        <v>1389</v>
      </c>
      <c r="G1647" s="3" t="s">
        <v>15</v>
      </c>
      <c r="H1647" s="3" t="str">
        <f>"3"</f>
        <v>3</v>
      </c>
      <c r="I1647" s="4">
        <v>1567.84</v>
      </c>
      <c r="J1647" s="2">
        <v>45925</v>
      </c>
      <c r="K1647" s="1" t="s">
        <v>4159</v>
      </c>
    </row>
    <row r="1648" spans="1:11" x14ac:dyDescent="0.35">
      <c r="A1648" s="3" t="s">
        <v>4087</v>
      </c>
      <c r="B1648" s="1" t="s">
        <v>4143</v>
      </c>
      <c r="C1648" s="1" t="s">
        <v>4167</v>
      </c>
      <c r="D1648" s="1" t="str">
        <f>"7025"</f>
        <v>7025</v>
      </c>
      <c r="E1648" s="1" t="str">
        <f>"016907454"</f>
        <v>016907454</v>
      </c>
      <c r="F1648" s="1" t="s">
        <v>4168</v>
      </c>
      <c r="G1648" s="3" t="s">
        <v>15</v>
      </c>
      <c r="H1648" s="3" t="str">
        <f>"1"</f>
        <v>1</v>
      </c>
      <c r="I1648" s="4" t="str">
        <f>"2363"</f>
        <v>2363</v>
      </c>
      <c r="J1648" s="2">
        <v>45925</v>
      </c>
      <c r="K1648" s="1" t="s">
        <v>4169</v>
      </c>
    </row>
    <row r="1649" spans="1:11" x14ac:dyDescent="0.35">
      <c r="A1649" s="3" t="s">
        <v>4087</v>
      </c>
      <c r="B1649" s="1" t="s">
        <v>4143</v>
      </c>
      <c r="C1649" s="1" t="s">
        <v>4146</v>
      </c>
      <c r="D1649" s="1" t="str">
        <f>"1005"</f>
        <v>1005</v>
      </c>
      <c r="E1649" s="1" t="str">
        <f>"015334093"</f>
        <v>015334093</v>
      </c>
      <c r="F1649" s="1" t="s">
        <v>4147</v>
      </c>
      <c r="G1649" s="3" t="s">
        <v>15</v>
      </c>
      <c r="H1649" s="3" t="str">
        <f>"2"</f>
        <v>2</v>
      </c>
      <c r="I1649" s="4">
        <v>71.09</v>
      </c>
      <c r="J1649" s="2">
        <v>45923</v>
      </c>
      <c r="K1649" s="1" t="s">
        <v>4148</v>
      </c>
    </row>
    <row r="1650" spans="1:11" x14ac:dyDescent="0.35">
      <c r="A1650" s="3" t="s">
        <v>4087</v>
      </c>
      <c r="B1650" s="1" t="s">
        <v>4143</v>
      </c>
      <c r="C1650" s="1" t="s">
        <v>4177</v>
      </c>
      <c r="D1650" s="1" t="str">
        <f>"7520"</f>
        <v>7520</v>
      </c>
      <c r="E1650" s="1" t="str">
        <f>"016190302"</f>
        <v>016190302</v>
      </c>
      <c r="F1650" s="1" t="s">
        <v>4178</v>
      </c>
      <c r="G1650" s="3" t="s">
        <v>15</v>
      </c>
      <c r="H1650" s="3" t="str">
        <f>"8"</f>
        <v>8</v>
      </c>
      <c r="I1650" s="4">
        <v>7.34</v>
      </c>
      <c r="J1650" s="2">
        <v>45923</v>
      </c>
      <c r="K1650" s="1" t="s">
        <v>4179</v>
      </c>
    </row>
    <row r="1651" spans="1:11" x14ac:dyDescent="0.35">
      <c r="A1651" s="3" t="s">
        <v>4087</v>
      </c>
      <c r="B1651" s="1" t="s">
        <v>4143</v>
      </c>
      <c r="C1651" s="1" t="s">
        <v>4180</v>
      </c>
      <c r="D1651" s="1" t="str">
        <f>"7520"</f>
        <v>7520</v>
      </c>
      <c r="E1651" s="1" t="str">
        <f>"002815918"</f>
        <v>002815918</v>
      </c>
      <c r="F1651" s="1" t="s">
        <v>4178</v>
      </c>
      <c r="G1651" s="3" t="s">
        <v>15</v>
      </c>
      <c r="H1651" s="3" t="str">
        <f>"10"</f>
        <v>10</v>
      </c>
      <c r="I1651" s="4">
        <v>3.92</v>
      </c>
      <c r="J1651" s="2">
        <v>45923</v>
      </c>
      <c r="K1651" s="1" t="s">
        <v>4179</v>
      </c>
    </row>
    <row r="1652" spans="1:11" x14ac:dyDescent="0.35">
      <c r="A1652" s="3" t="s">
        <v>4087</v>
      </c>
      <c r="B1652" s="1" t="s">
        <v>4143</v>
      </c>
      <c r="C1652" s="1" t="s">
        <v>4204</v>
      </c>
      <c r="D1652" s="1" t="str">
        <f>"8340"</f>
        <v>8340</v>
      </c>
      <c r="E1652" s="1" t="str">
        <f>"016004809"</f>
        <v>016004809</v>
      </c>
      <c r="F1652" s="1" t="s">
        <v>763</v>
      </c>
      <c r="G1652" s="3" t="s">
        <v>15</v>
      </c>
      <c r="H1652" s="3" t="str">
        <f>"5"</f>
        <v>5</v>
      </c>
      <c r="I1652" s="4">
        <v>76.260000000000005</v>
      </c>
      <c r="J1652" s="2">
        <v>45923</v>
      </c>
      <c r="K1652" s="1" t="s">
        <v>4205</v>
      </c>
    </row>
    <row r="1653" spans="1:11" x14ac:dyDescent="0.35">
      <c r="A1653" s="3" t="s">
        <v>4087</v>
      </c>
      <c r="B1653" s="1" t="s">
        <v>4143</v>
      </c>
      <c r="C1653" s="1" t="s">
        <v>4211</v>
      </c>
      <c r="D1653" s="1" t="str">
        <f>"8340"</f>
        <v>8340</v>
      </c>
      <c r="E1653" s="1" t="str">
        <f>"016004807"</f>
        <v>016004807</v>
      </c>
      <c r="F1653" s="1" t="s">
        <v>763</v>
      </c>
      <c r="G1653" s="3" t="s">
        <v>15</v>
      </c>
      <c r="H1653" s="3" t="str">
        <f>"5"</f>
        <v>5</v>
      </c>
      <c r="I1653" s="4">
        <v>75.319999999999993</v>
      </c>
      <c r="J1653" s="2">
        <v>45923</v>
      </c>
      <c r="K1653" s="1" t="s">
        <v>4205</v>
      </c>
    </row>
    <row r="1654" spans="1:11" x14ac:dyDescent="0.35">
      <c r="A1654" s="3" t="s">
        <v>4087</v>
      </c>
      <c r="B1654" s="1" t="s">
        <v>4143</v>
      </c>
      <c r="C1654" s="1" t="s">
        <v>4229</v>
      </c>
      <c r="D1654" s="1" t="str">
        <f>"8465"</f>
        <v>8465</v>
      </c>
      <c r="E1654" s="1" t="str">
        <f>"016733374"</f>
        <v>016733374</v>
      </c>
      <c r="F1654" s="1" t="s">
        <v>857</v>
      </c>
      <c r="G1654" s="3" t="s">
        <v>15</v>
      </c>
      <c r="H1654" s="3" t="str">
        <f>"1"</f>
        <v>1</v>
      </c>
      <c r="I1654" s="4">
        <v>389.21</v>
      </c>
      <c r="J1654" s="2">
        <v>45922</v>
      </c>
      <c r="K1654" s="1" t="s">
        <v>4230</v>
      </c>
    </row>
    <row r="1655" spans="1:11" x14ac:dyDescent="0.35">
      <c r="A1655" s="3" t="s">
        <v>4087</v>
      </c>
      <c r="B1655" s="1" t="s">
        <v>4134</v>
      </c>
      <c r="C1655" s="1" t="s">
        <v>4135</v>
      </c>
      <c r="D1655" s="1" t="str">
        <f>"5855"</f>
        <v>5855</v>
      </c>
      <c r="E1655" s="1" t="str">
        <f>"015847217"</f>
        <v>015847217</v>
      </c>
      <c r="F1655" s="1" t="s">
        <v>1942</v>
      </c>
      <c r="G1655" s="3" t="s">
        <v>15</v>
      </c>
      <c r="H1655" s="3" t="str">
        <f>"20"</f>
        <v>20</v>
      </c>
      <c r="I1655" s="4" t="str">
        <f>"35674"</f>
        <v>35674</v>
      </c>
      <c r="J1655" s="2">
        <v>45920</v>
      </c>
      <c r="K1655" s="1" t="s">
        <v>4136</v>
      </c>
    </row>
    <row r="1656" spans="1:11" x14ac:dyDescent="0.35">
      <c r="A1656" s="3" t="s">
        <v>4087</v>
      </c>
      <c r="B1656" s="1" t="s">
        <v>4134</v>
      </c>
      <c r="C1656" s="1" t="s">
        <v>4137</v>
      </c>
      <c r="D1656" s="1" t="str">
        <f>"5855"</f>
        <v>5855</v>
      </c>
      <c r="E1656" s="1" t="str">
        <f>"014778738"</f>
        <v>014778738</v>
      </c>
      <c r="F1656" s="1" t="s">
        <v>1942</v>
      </c>
      <c r="G1656" s="3" t="s">
        <v>15</v>
      </c>
      <c r="H1656" s="3" t="str">
        <f>"30"</f>
        <v>30</v>
      </c>
      <c r="I1656" s="4" t="str">
        <f>"7830"</f>
        <v>7830</v>
      </c>
      <c r="J1656" s="2">
        <v>45920</v>
      </c>
      <c r="K1656" s="1" t="s">
        <v>4138</v>
      </c>
    </row>
    <row r="1657" spans="1:11" x14ac:dyDescent="0.35">
      <c r="A1657" s="3" t="s">
        <v>4087</v>
      </c>
      <c r="B1657" s="1" t="s">
        <v>4143</v>
      </c>
      <c r="C1657" s="1" t="s">
        <v>4170</v>
      </c>
      <c r="D1657" s="1" t="str">
        <f>"7025"</f>
        <v>7025</v>
      </c>
      <c r="E1657" s="1" t="str">
        <f>"016633407"</f>
        <v>016633407</v>
      </c>
      <c r="F1657" s="1" t="s">
        <v>4168</v>
      </c>
      <c r="G1657" s="3" t="s">
        <v>15</v>
      </c>
      <c r="H1657" s="3" t="str">
        <f>"4"</f>
        <v>4</v>
      </c>
      <c r="I1657" s="4" t="str">
        <f>"989"</f>
        <v>989</v>
      </c>
      <c r="J1657" s="2">
        <v>45919</v>
      </c>
      <c r="K1657" s="1" t="s">
        <v>4171</v>
      </c>
    </row>
    <row r="1658" spans="1:11" x14ac:dyDescent="0.35">
      <c r="A1658" s="3" t="s">
        <v>4087</v>
      </c>
      <c r="B1658" s="1" t="s">
        <v>4121</v>
      </c>
      <c r="C1658" s="1" t="s">
        <v>4128</v>
      </c>
      <c r="D1658" s="1" t="str">
        <f>"7105"</f>
        <v>7105</v>
      </c>
      <c r="E1658" s="1" t="str">
        <f>"016650847"</f>
        <v>016650847</v>
      </c>
      <c r="F1658" s="1" t="s">
        <v>4129</v>
      </c>
      <c r="G1658" s="3" t="s">
        <v>15</v>
      </c>
      <c r="H1658" s="3" t="str">
        <f>"1"</f>
        <v>1</v>
      </c>
      <c r="I1658" s="4">
        <v>707.12</v>
      </c>
      <c r="J1658" s="2">
        <v>45917</v>
      </c>
      <c r="K1658" s="1" t="s">
        <v>4130</v>
      </c>
    </row>
    <row r="1659" spans="1:11" x14ac:dyDescent="0.35">
      <c r="A1659" s="3" t="s">
        <v>4087</v>
      </c>
      <c r="B1659" s="1" t="s">
        <v>4088</v>
      </c>
      <c r="C1659" s="1" t="s">
        <v>4089</v>
      </c>
      <c r="D1659" s="1" t="str">
        <f>"3590"</f>
        <v>3590</v>
      </c>
      <c r="E1659" s="1" t="s">
        <v>4090</v>
      </c>
      <c r="F1659" s="1" t="s">
        <v>4091</v>
      </c>
      <c r="G1659" s="3" t="s">
        <v>15</v>
      </c>
      <c r="H1659" s="3" t="str">
        <f>"1"</f>
        <v>1</v>
      </c>
      <c r="I1659" s="4" t="str">
        <f>"149878"</f>
        <v>149878</v>
      </c>
      <c r="J1659" s="2">
        <v>45916</v>
      </c>
      <c r="K1659" s="1" t="s">
        <v>4092</v>
      </c>
    </row>
    <row r="1660" spans="1:11" x14ac:dyDescent="0.35">
      <c r="A1660" s="3" t="s">
        <v>4087</v>
      </c>
      <c r="B1660" s="1" t="s">
        <v>4143</v>
      </c>
      <c r="C1660" s="1" t="s">
        <v>4144</v>
      </c>
      <c r="D1660" s="1" t="str">
        <f>"1005"</f>
        <v>1005</v>
      </c>
      <c r="E1660" s="1" t="str">
        <f>"014488513"</f>
        <v>014488513</v>
      </c>
      <c r="F1660" s="1" t="s">
        <v>1004</v>
      </c>
      <c r="G1660" s="3" t="s">
        <v>15</v>
      </c>
      <c r="H1660" s="3" t="str">
        <f>"3"</f>
        <v>3</v>
      </c>
      <c r="I1660" s="4">
        <v>118.28</v>
      </c>
      <c r="J1660" s="2">
        <v>45916</v>
      </c>
      <c r="K1660" s="1" t="s">
        <v>4145</v>
      </c>
    </row>
    <row r="1661" spans="1:11" x14ac:dyDescent="0.35">
      <c r="A1661" s="3" t="s">
        <v>4087</v>
      </c>
      <c r="B1661" s="1" t="s">
        <v>4143</v>
      </c>
      <c r="C1661" s="1" t="s">
        <v>4149</v>
      </c>
      <c r="D1661" s="1" t="str">
        <f>"4240"</f>
        <v>4240</v>
      </c>
      <c r="E1661" s="1" t="str">
        <f>"013009402"</f>
        <v>013009402</v>
      </c>
      <c r="F1661" s="1" t="s">
        <v>4150</v>
      </c>
      <c r="G1661" s="3" t="s">
        <v>290</v>
      </c>
      <c r="H1661" s="3" t="str">
        <f>"2"</f>
        <v>2</v>
      </c>
      <c r="I1661" s="4">
        <v>231.02</v>
      </c>
      <c r="J1661" s="2">
        <v>45916</v>
      </c>
      <c r="K1661" s="1" t="s">
        <v>4151</v>
      </c>
    </row>
    <row r="1662" spans="1:11" x14ac:dyDescent="0.35">
      <c r="A1662" s="3" t="s">
        <v>4087</v>
      </c>
      <c r="B1662" s="1" t="s">
        <v>4143</v>
      </c>
      <c r="C1662" s="1" t="s">
        <v>4181</v>
      </c>
      <c r="D1662" s="1" t="str">
        <f>"7520"</f>
        <v>7520</v>
      </c>
      <c r="E1662" s="1" t="str">
        <f>"000433408"</f>
        <v>000433408</v>
      </c>
      <c r="F1662" s="1" t="s">
        <v>4182</v>
      </c>
      <c r="G1662" s="3" t="s">
        <v>4183</v>
      </c>
      <c r="H1662" s="3" t="str">
        <f>"5"</f>
        <v>5</v>
      </c>
      <c r="I1662" s="4">
        <v>12.99</v>
      </c>
      <c r="J1662" s="2">
        <v>45916</v>
      </c>
      <c r="K1662" s="1" t="s">
        <v>4184</v>
      </c>
    </row>
    <row r="1663" spans="1:11" x14ac:dyDescent="0.35">
      <c r="A1663" s="3" t="s">
        <v>4087</v>
      </c>
      <c r="B1663" s="1" t="s">
        <v>4143</v>
      </c>
      <c r="C1663" s="1" t="s">
        <v>4185</v>
      </c>
      <c r="D1663" s="1" t="str">
        <f>"7520"</f>
        <v>7520</v>
      </c>
      <c r="E1663" s="1" t="str">
        <f>"009357135"</f>
        <v>009357135</v>
      </c>
      <c r="F1663" s="1" t="s">
        <v>4186</v>
      </c>
      <c r="G1663" s="3" t="s">
        <v>4183</v>
      </c>
      <c r="H1663" s="3" t="str">
        <f>"3"</f>
        <v>3</v>
      </c>
      <c r="I1663" s="4">
        <v>11.47</v>
      </c>
      <c r="J1663" s="2">
        <v>45916</v>
      </c>
      <c r="K1663" s="1" t="s">
        <v>4184</v>
      </c>
    </row>
    <row r="1664" spans="1:11" x14ac:dyDescent="0.35">
      <c r="A1664" s="3" t="s">
        <v>4087</v>
      </c>
      <c r="B1664" s="1" t="s">
        <v>4143</v>
      </c>
      <c r="C1664" s="1" t="s">
        <v>4193</v>
      </c>
      <c r="D1664" s="1" t="str">
        <f>"8115"</f>
        <v>8115</v>
      </c>
      <c r="E1664" s="1" t="str">
        <f>"015899742"</f>
        <v>015899742</v>
      </c>
      <c r="F1664" s="1" t="s">
        <v>3664</v>
      </c>
      <c r="G1664" s="3" t="s">
        <v>15</v>
      </c>
      <c r="H1664" s="3" t="str">
        <f>"1"</f>
        <v>1</v>
      </c>
      <c r="I1664" s="4">
        <v>428.47</v>
      </c>
      <c r="J1664" s="2">
        <v>45916</v>
      </c>
      <c r="K1664" s="1" t="s">
        <v>4194</v>
      </c>
    </row>
    <row r="1665" spans="1:11" x14ac:dyDescent="0.35">
      <c r="A1665" s="3" t="s">
        <v>4087</v>
      </c>
      <c r="B1665" s="1" t="s">
        <v>4143</v>
      </c>
      <c r="C1665" s="1" t="s">
        <v>4195</v>
      </c>
      <c r="D1665" s="1" t="str">
        <f>"8145"</f>
        <v>8145</v>
      </c>
      <c r="E1665" s="1" t="s">
        <v>2206</v>
      </c>
      <c r="F1665" s="1" t="s">
        <v>2207</v>
      </c>
      <c r="G1665" s="3" t="s">
        <v>15</v>
      </c>
      <c r="H1665" s="3" t="str">
        <f>"1"</f>
        <v>1</v>
      </c>
      <c r="I1665" s="4" t="str">
        <f>"350"</f>
        <v>350</v>
      </c>
      <c r="J1665" s="2">
        <v>45916</v>
      </c>
      <c r="K1665" s="1" t="s">
        <v>4196</v>
      </c>
    </row>
    <row r="1666" spans="1:11" x14ac:dyDescent="0.35">
      <c r="A1666" s="3" t="s">
        <v>4087</v>
      </c>
      <c r="B1666" s="1" t="s">
        <v>4143</v>
      </c>
      <c r="C1666" s="1" t="s">
        <v>4197</v>
      </c>
      <c r="D1666" s="1" t="str">
        <f>"8145"</f>
        <v>8145</v>
      </c>
      <c r="E1666" s="1" t="s">
        <v>2206</v>
      </c>
      <c r="F1666" s="1" t="s">
        <v>2207</v>
      </c>
      <c r="G1666" s="3" t="s">
        <v>15</v>
      </c>
      <c r="H1666" s="3" t="str">
        <f>"2"</f>
        <v>2</v>
      </c>
      <c r="I1666" s="4" t="str">
        <f>"75"</f>
        <v>75</v>
      </c>
      <c r="J1666" s="2">
        <v>45916</v>
      </c>
      <c r="K1666" s="1" t="s">
        <v>4196</v>
      </c>
    </row>
    <row r="1667" spans="1:11" x14ac:dyDescent="0.35">
      <c r="A1667" s="3" t="s">
        <v>4087</v>
      </c>
      <c r="B1667" s="1" t="s">
        <v>4143</v>
      </c>
      <c r="C1667" s="1" t="s">
        <v>4198</v>
      </c>
      <c r="D1667" s="1" t="str">
        <f>"8145"</f>
        <v>8145</v>
      </c>
      <c r="E1667" s="1" t="str">
        <f>"015884176"</f>
        <v>015884176</v>
      </c>
      <c r="F1667" s="1" t="s">
        <v>4199</v>
      </c>
      <c r="G1667" s="3" t="s">
        <v>15</v>
      </c>
      <c r="H1667" s="3" t="str">
        <f>"1"</f>
        <v>1</v>
      </c>
      <c r="I1667" s="4">
        <v>639.58000000000004</v>
      </c>
      <c r="J1667" s="2">
        <v>45916</v>
      </c>
      <c r="K1667" s="1" t="s">
        <v>4196</v>
      </c>
    </row>
    <row r="1668" spans="1:11" x14ac:dyDescent="0.35">
      <c r="A1668" s="3" t="s">
        <v>4087</v>
      </c>
      <c r="B1668" s="1" t="s">
        <v>4143</v>
      </c>
      <c r="C1668" s="1" t="s">
        <v>4200</v>
      </c>
      <c r="D1668" s="1" t="str">
        <f>"8145"</f>
        <v>8145</v>
      </c>
      <c r="E1668" s="1" t="str">
        <f>"015404440"</f>
        <v>015404440</v>
      </c>
      <c r="F1668" s="1" t="s">
        <v>1661</v>
      </c>
      <c r="G1668" s="3" t="s">
        <v>15</v>
      </c>
      <c r="H1668" s="3" t="str">
        <f>"2"</f>
        <v>2</v>
      </c>
      <c r="I1668" s="4" t="str">
        <f>"80"</f>
        <v>80</v>
      </c>
      <c r="J1668" s="2">
        <v>45916</v>
      </c>
      <c r="K1668" s="1" t="s">
        <v>4196</v>
      </c>
    </row>
    <row r="1669" spans="1:11" x14ac:dyDescent="0.35">
      <c r="A1669" s="3" t="s">
        <v>4087</v>
      </c>
      <c r="B1669" s="1" t="s">
        <v>4143</v>
      </c>
      <c r="C1669" s="1" t="s">
        <v>4201</v>
      </c>
      <c r="D1669" s="1" t="str">
        <f>"8145"</f>
        <v>8145</v>
      </c>
      <c r="E1669" s="1" t="s">
        <v>743</v>
      </c>
      <c r="F1669" s="1" t="s">
        <v>744</v>
      </c>
      <c r="G1669" s="3" t="s">
        <v>15</v>
      </c>
      <c r="H1669" s="3" t="str">
        <f>"1"</f>
        <v>1</v>
      </c>
      <c r="I1669" s="4" t="str">
        <f>"100"</f>
        <v>100</v>
      </c>
      <c r="J1669" s="2">
        <v>45916</v>
      </c>
      <c r="K1669" s="1" t="s">
        <v>4196</v>
      </c>
    </row>
    <row r="1670" spans="1:11" x14ac:dyDescent="0.35">
      <c r="A1670" s="3" t="s">
        <v>4087</v>
      </c>
      <c r="B1670" s="1" t="s">
        <v>4143</v>
      </c>
      <c r="C1670" s="1" t="s">
        <v>4206</v>
      </c>
      <c r="D1670" s="1" t="str">
        <f>"8340"</f>
        <v>8340</v>
      </c>
      <c r="E1670" s="1" t="str">
        <f>"016288855"</f>
        <v>016288855</v>
      </c>
      <c r="F1670" s="1" t="s">
        <v>957</v>
      </c>
      <c r="G1670" s="3" t="s">
        <v>15</v>
      </c>
      <c r="H1670" s="3" t="str">
        <f>"2"</f>
        <v>2</v>
      </c>
      <c r="I1670" s="4">
        <v>395.44</v>
      </c>
      <c r="J1670" s="2">
        <v>45916</v>
      </c>
      <c r="K1670" s="1" t="s">
        <v>4207</v>
      </c>
    </row>
    <row r="1671" spans="1:11" x14ac:dyDescent="0.35">
      <c r="A1671" s="3" t="s">
        <v>4087</v>
      </c>
      <c r="B1671" s="1" t="s">
        <v>4143</v>
      </c>
      <c r="C1671" s="1" t="s">
        <v>4208</v>
      </c>
      <c r="D1671" s="1" t="str">
        <f>"8340"</f>
        <v>8340</v>
      </c>
      <c r="E1671" s="1" t="str">
        <f>"016288855"</f>
        <v>016288855</v>
      </c>
      <c r="F1671" s="1" t="s">
        <v>957</v>
      </c>
      <c r="G1671" s="3" t="s">
        <v>15</v>
      </c>
      <c r="H1671" s="3" t="str">
        <f>"2"</f>
        <v>2</v>
      </c>
      <c r="I1671" s="4">
        <v>395.44</v>
      </c>
      <c r="J1671" s="2">
        <v>45916</v>
      </c>
      <c r="K1671" s="1" t="s">
        <v>4207</v>
      </c>
    </row>
    <row r="1672" spans="1:11" x14ac:dyDescent="0.35">
      <c r="A1672" s="3" t="s">
        <v>4087</v>
      </c>
      <c r="B1672" s="1" t="s">
        <v>4143</v>
      </c>
      <c r="C1672" s="1" t="s">
        <v>4209</v>
      </c>
      <c r="D1672" s="1" t="str">
        <f>"8340"</f>
        <v>8340</v>
      </c>
      <c r="E1672" s="1" t="str">
        <f>"016288855"</f>
        <v>016288855</v>
      </c>
      <c r="F1672" s="1" t="s">
        <v>957</v>
      </c>
      <c r="G1672" s="3" t="s">
        <v>15</v>
      </c>
      <c r="H1672" s="3" t="str">
        <f>"2"</f>
        <v>2</v>
      </c>
      <c r="I1672" s="4">
        <v>395.44</v>
      </c>
      <c r="J1672" s="2">
        <v>45916</v>
      </c>
      <c r="K1672" s="1" t="s">
        <v>4210</v>
      </c>
    </row>
    <row r="1673" spans="1:11" x14ac:dyDescent="0.35">
      <c r="A1673" s="3" t="s">
        <v>4087</v>
      </c>
      <c r="B1673" s="1" t="s">
        <v>4143</v>
      </c>
      <c r="C1673" s="1" t="s">
        <v>4214</v>
      </c>
      <c r="D1673" s="1" t="str">
        <f>"8415"</f>
        <v>8415</v>
      </c>
      <c r="E1673" s="1" t="str">
        <f>"015989332"</f>
        <v>015989332</v>
      </c>
      <c r="F1673" s="1" t="s">
        <v>3020</v>
      </c>
      <c r="G1673" s="3" t="s">
        <v>847</v>
      </c>
      <c r="H1673" s="3" t="str">
        <f>"4"</f>
        <v>4</v>
      </c>
      <c r="I1673" s="4">
        <v>141.36000000000001</v>
      </c>
      <c r="J1673" s="2">
        <v>45916</v>
      </c>
      <c r="K1673" s="1" t="s">
        <v>4215</v>
      </c>
    </row>
    <row r="1674" spans="1:11" x14ac:dyDescent="0.35">
      <c r="A1674" s="3" t="s">
        <v>4087</v>
      </c>
      <c r="B1674" s="1" t="s">
        <v>4143</v>
      </c>
      <c r="C1674" s="1" t="s">
        <v>4216</v>
      </c>
      <c r="D1674" s="1" t="str">
        <f>"8415"</f>
        <v>8415</v>
      </c>
      <c r="E1674" s="1" t="str">
        <f>"015989330"</f>
        <v>015989330</v>
      </c>
      <c r="F1674" s="1" t="s">
        <v>3020</v>
      </c>
      <c r="G1674" s="3" t="s">
        <v>847</v>
      </c>
      <c r="H1674" s="3" t="str">
        <f>"3"</f>
        <v>3</v>
      </c>
      <c r="I1674" s="4">
        <v>141.36000000000001</v>
      </c>
      <c r="J1674" s="2">
        <v>45916</v>
      </c>
      <c r="K1674" s="1" t="s">
        <v>4217</v>
      </c>
    </row>
    <row r="1675" spans="1:11" x14ac:dyDescent="0.35">
      <c r="A1675" s="3" t="s">
        <v>4087</v>
      </c>
      <c r="B1675" s="1" t="s">
        <v>4143</v>
      </c>
      <c r="C1675" s="1" t="s">
        <v>4218</v>
      </c>
      <c r="D1675" s="1" t="str">
        <f>"8415"</f>
        <v>8415</v>
      </c>
      <c r="E1675" s="1" t="str">
        <f>"015386752"</f>
        <v>015386752</v>
      </c>
      <c r="F1675" s="1" t="s">
        <v>839</v>
      </c>
      <c r="G1675" s="3" t="s">
        <v>15</v>
      </c>
      <c r="H1675" s="3" t="str">
        <f>"8"</f>
        <v>8</v>
      </c>
      <c r="I1675" s="4">
        <v>66.42</v>
      </c>
      <c r="J1675" s="2">
        <v>45916</v>
      </c>
      <c r="K1675" s="1" t="s">
        <v>4217</v>
      </c>
    </row>
    <row r="1676" spans="1:11" x14ac:dyDescent="0.35">
      <c r="A1676" s="3" t="s">
        <v>4087</v>
      </c>
      <c r="B1676" s="1" t="s">
        <v>4143</v>
      </c>
      <c r="C1676" s="1" t="s">
        <v>4219</v>
      </c>
      <c r="D1676" s="1" t="str">
        <f>"8415"</f>
        <v>8415</v>
      </c>
      <c r="E1676" s="1" t="str">
        <f>"015802904"</f>
        <v>015802904</v>
      </c>
      <c r="F1676" s="1" t="s">
        <v>2476</v>
      </c>
      <c r="G1676" s="3" t="s">
        <v>15</v>
      </c>
      <c r="H1676" s="3" t="str">
        <f>"2"</f>
        <v>2</v>
      </c>
      <c r="I1676" s="4">
        <v>150.29</v>
      </c>
      <c r="J1676" s="2">
        <v>45916</v>
      </c>
      <c r="K1676" s="1" t="s">
        <v>4217</v>
      </c>
    </row>
    <row r="1677" spans="1:11" x14ac:dyDescent="0.35">
      <c r="A1677" s="3" t="s">
        <v>4087</v>
      </c>
      <c r="B1677" s="1" t="s">
        <v>4143</v>
      </c>
      <c r="C1677" s="1" t="s">
        <v>4220</v>
      </c>
      <c r="D1677" s="1" t="str">
        <f>"8415"</f>
        <v>8415</v>
      </c>
      <c r="E1677" s="1" t="str">
        <f>"015802928"</f>
        <v>015802928</v>
      </c>
      <c r="F1677" s="1" t="s">
        <v>2476</v>
      </c>
      <c r="G1677" s="3" t="s">
        <v>15</v>
      </c>
      <c r="H1677" s="3" t="str">
        <f>"1"</f>
        <v>1</v>
      </c>
      <c r="I1677" s="4">
        <v>150.29</v>
      </c>
      <c r="J1677" s="2">
        <v>45916</v>
      </c>
      <c r="K1677" s="1" t="s">
        <v>4217</v>
      </c>
    </row>
    <row r="1678" spans="1:11" x14ac:dyDescent="0.35">
      <c r="A1678" s="3" t="s">
        <v>4087</v>
      </c>
      <c r="B1678" s="1" t="s">
        <v>4143</v>
      </c>
      <c r="C1678" s="1" t="s">
        <v>4221</v>
      </c>
      <c r="D1678" s="1" t="str">
        <f>"8415"</f>
        <v>8415</v>
      </c>
      <c r="E1678" s="1" t="str">
        <f>"015800759"</f>
        <v>015800759</v>
      </c>
      <c r="F1678" s="1" t="s">
        <v>839</v>
      </c>
      <c r="G1678" s="3" t="s">
        <v>15</v>
      </c>
      <c r="H1678" s="3" t="str">
        <f>"1"</f>
        <v>1</v>
      </c>
      <c r="I1678" s="4">
        <v>61.74</v>
      </c>
      <c r="J1678" s="2">
        <v>45916</v>
      </c>
      <c r="K1678" s="1" t="s">
        <v>4217</v>
      </c>
    </row>
    <row r="1679" spans="1:11" x14ac:dyDescent="0.35">
      <c r="A1679" s="3" t="s">
        <v>4087</v>
      </c>
      <c r="B1679" s="1" t="s">
        <v>4143</v>
      </c>
      <c r="C1679" s="1" t="s">
        <v>4222</v>
      </c>
      <c r="D1679" s="1" t="str">
        <f>"8415"</f>
        <v>8415</v>
      </c>
      <c r="E1679" s="1" t="str">
        <f>"015386752"</f>
        <v>015386752</v>
      </c>
      <c r="F1679" s="1" t="s">
        <v>839</v>
      </c>
      <c r="G1679" s="3" t="s">
        <v>15</v>
      </c>
      <c r="H1679" s="3" t="str">
        <f>"1"</f>
        <v>1</v>
      </c>
      <c r="I1679" s="4">
        <v>66.42</v>
      </c>
      <c r="J1679" s="2">
        <v>45916</v>
      </c>
      <c r="K1679" s="1" t="s">
        <v>4217</v>
      </c>
    </row>
    <row r="1680" spans="1:11" x14ac:dyDescent="0.35">
      <c r="A1680" s="3" t="s">
        <v>4087</v>
      </c>
      <c r="B1680" s="1" t="s">
        <v>4143</v>
      </c>
      <c r="C1680" s="1" t="s">
        <v>4223</v>
      </c>
      <c r="D1680" s="1" t="str">
        <f>"8415"</f>
        <v>8415</v>
      </c>
      <c r="E1680" s="1" t="str">
        <f>"015800751"</f>
        <v>015800751</v>
      </c>
      <c r="F1680" s="1" t="s">
        <v>839</v>
      </c>
      <c r="G1680" s="3" t="s">
        <v>15</v>
      </c>
      <c r="H1680" s="3" t="str">
        <f>"1"</f>
        <v>1</v>
      </c>
      <c r="I1680" s="4">
        <v>61.74</v>
      </c>
      <c r="J1680" s="2">
        <v>45916</v>
      </c>
      <c r="K1680" s="1" t="s">
        <v>4217</v>
      </c>
    </row>
    <row r="1681" spans="1:11" x14ac:dyDescent="0.35">
      <c r="A1681" s="3" t="s">
        <v>4087</v>
      </c>
      <c r="B1681" s="1" t="s">
        <v>4143</v>
      </c>
      <c r="C1681" s="1" t="s">
        <v>4227</v>
      </c>
      <c r="D1681" s="1" t="str">
        <f>"8465"</f>
        <v>8465</v>
      </c>
      <c r="E1681" s="1" t="str">
        <f>"013936515"</f>
        <v>013936515</v>
      </c>
      <c r="F1681" s="1" t="s">
        <v>849</v>
      </c>
      <c r="G1681" s="3" t="s">
        <v>15</v>
      </c>
      <c r="H1681" s="3" t="str">
        <f>"4"</f>
        <v>4</v>
      </c>
      <c r="I1681" s="4">
        <v>56.45</v>
      </c>
      <c r="J1681" s="2">
        <v>45916</v>
      </c>
      <c r="K1681" s="1" t="s">
        <v>4228</v>
      </c>
    </row>
    <row r="1682" spans="1:11" x14ac:dyDescent="0.35">
      <c r="A1682" s="3" t="s">
        <v>4087</v>
      </c>
      <c r="B1682" s="1" t="s">
        <v>4143</v>
      </c>
      <c r="C1682" s="1" t="s">
        <v>4231</v>
      </c>
      <c r="D1682" s="1" t="str">
        <f>"8465"</f>
        <v>8465</v>
      </c>
      <c r="E1682" s="1" t="str">
        <f>"015250589"</f>
        <v>015250589</v>
      </c>
      <c r="F1682" s="1" t="s">
        <v>4232</v>
      </c>
      <c r="G1682" s="3" t="s">
        <v>15</v>
      </c>
      <c r="H1682" s="3" t="str">
        <f>"6"</f>
        <v>6</v>
      </c>
      <c r="I1682" s="4">
        <v>4.46</v>
      </c>
      <c r="J1682" s="2">
        <v>45916</v>
      </c>
      <c r="K1682" s="1" t="s">
        <v>4233</v>
      </c>
    </row>
    <row r="1683" spans="1:11" x14ac:dyDescent="0.35">
      <c r="A1683" s="3" t="s">
        <v>4087</v>
      </c>
      <c r="B1683" s="1" t="s">
        <v>4143</v>
      </c>
      <c r="C1683" s="1" t="s">
        <v>4234</v>
      </c>
      <c r="D1683" s="1" t="str">
        <f>"8465"</f>
        <v>8465</v>
      </c>
      <c r="E1683" s="1" t="str">
        <f>"015250589"</f>
        <v>015250589</v>
      </c>
      <c r="F1683" s="1" t="s">
        <v>4232</v>
      </c>
      <c r="G1683" s="3" t="s">
        <v>15</v>
      </c>
      <c r="H1683" s="3" t="str">
        <f>"6"</f>
        <v>6</v>
      </c>
      <c r="I1683" s="4">
        <v>4.46</v>
      </c>
      <c r="J1683" s="2">
        <v>45916</v>
      </c>
      <c r="K1683" s="1" t="s">
        <v>4233</v>
      </c>
    </row>
    <row r="1684" spans="1:11" x14ac:dyDescent="0.35">
      <c r="A1684" s="3" t="s">
        <v>4087</v>
      </c>
      <c r="B1684" s="1" t="s">
        <v>4143</v>
      </c>
      <c r="C1684" s="1" t="s">
        <v>4235</v>
      </c>
      <c r="D1684" s="1" t="str">
        <f>"8465"</f>
        <v>8465</v>
      </c>
      <c r="E1684" s="1" t="str">
        <f>"016046541"</f>
        <v>016046541</v>
      </c>
      <c r="F1684" s="1" t="s">
        <v>975</v>
      </c>
      <c r="G1684" s="3" t="s">
        <v>15</v>
      </c>
      <c r="H1684" s="3" t="str">
        <f>"6"</f>
        <v>6</v>
      </c>
      <c r="I1684" s="4">
        <v>41.87</v>
      </c>
      <c r="J1684" s="2">
        <v>45916</v>
      </c>
      <c r="K1684" s="1" t="s">
        <v>4236</v>
      </c>
    </row>
    <row r="1685" spans="1:11" x14ac:dyDescent="0.35">
      <c r="A1685" s="3" t="s">
        <v>4087</v>
      </c>
      <c r="B1685" s="1" t="s">
        <v>4143</v>
      </c>
      <c r="C1685" s="1" t="s">
        <v>4237</v>
      </c>
      <c r="D1685" s="1" t="str">
        <f>"8465"</f>
        <v>8465</v>
      </c>
      <c r="E1685" s="1" t="str">
        <f>"011178699"</f>
        <v>011178699</v>
      </c>
      <c r="F1685" s="1" t="s">
        <v>975</v>
      </c>
      <c r="G1685" s="3" t="s">
        <v>15</v>
      </c>
      <c r="H1685" s="3" t="str">
        <f>"6"</f>
        <v>6</v>
      </c>
      <c r="I1685" s="4">
        <v>27.54</v>
      </c>
      <c r="J1685" s="2">
        <v>45916</v>
      </c>
      <c r="K1685" s="1" t="s">
        <v>4236</v>
      </c>
    </row>
    <row r="1686" spans="1:11" x14ac:dyDescent="0.35">
      <c r="A1686" s="3" t="s">
        <v>4087</v>
      </c>
      <c r="B1686" s="1" t="s">
        <v>4143</v>
      </c>
      <c r="C1686" s="1" t="s">
        <v>4156</v>
      </c>
      <c r="D1686" s="1" t="str">
        <f>"5855"</f>
        <v>5855</v>
      </c>
      <c r="E1686" s="1" t="str">
        <f>"015330555"</f>
        <v>015330555</v>
      </c>
      <c r="F1686" s="1" t="s">
        <v>2656</v>
      </c>
      <c r="G1686" s="3" t="s">
        <v>15</v>
      </c>
      <c r="H1686" s="3" t="str">
        <f>"3"</f>
        <v>3</v>
      </c>
      <c r="I1686" s="4" t="str">
        <f>"1800"</f>
        <v>1800</v>
      </c>
      <c r="J1686" s="2">
        <v>45911</v>
      </c>
      <c r="K1686" s="1" t="s">
        <v>4157</v>
      </c>
    </row>
    <row r="1687" spans="1:11" x14ac:dyDescent="0.35">
      <c r="A1687" s="3" t="s">
        <v>4087</v>
      </c>
      <c r="B1687" s="1" t="s">
        <v>4238</v>
      </c>
      <c r="C1687" s="1" t="s">
        <v>4239</v>
      </c>
      <c r="D1687" s="1" t="str">
        <f>"2610"</f>
        <v>2610</v>
      </c>
      <c r="E1687" s="1" t="str">
        <f>"015592516"</f>
        <v>015592516</v>
      </c>
      <c r="F1687" s="1" t="s">
        <v>1329</v>
      </c>
      <c r="G1687" s="3" t="s">
        <v>15</v>
      </c>
      <c r="H1687" s="3" t="str">
        <f>"16"</f>
        <v>16</v>
      </c>
      <c r="I1687" s="4">
        <v>1613.48</v>
      </c>
      <c r="J1687" s="2">
        <v>45908</v>
      </c>
      <c r="K1687" s="1" t="s">
        <v>4240</v>
      </c>
    </row>
    <row r="1688" spans="1:11" x14ac:dyDescent="0.35">
      <c r="A1688" s="3" t="s">
        <v>4087</v>
      </c>
      <c r="B1688" s="1" t="s">
        <v>4143</v>
      </c>
      <c r="C1688" s="1" t="s">
        <v>4152</v>
      </c>
      <c r="D1688" s="1" t="str">
        <f>"5855"</f>
        <v>5855</v>
      </c>
      <c r="E1688" s="1" t="str">
        <f>"015387994"</f>
        <v>015387994</v>
      </c>
      <c r="F1688" s="1" t="s">
        <v>1379</v>
      </c>
      <c r="G1688" s="3" t="s">
        <v>15</v>
      </c>
      <c r="H1688" s="3" t="str">
        <f>"2"</f>
        <v>2</v>
      </c>
      <c r="I1688" s="4">
        <v>21388.21</v>
      </c>
      <c r="J1688" s="2">
        <v>45904</v>
      </c>
      <c r="K1688" s="1" t="s">
        <v>4153</v>
      </c>
    </row>
    <row r="1689" spans="1:11" x14ac:dyDescent="0.35">
      <c r="A1689" s="3" t="s">
        <v>4087</v>
      </c>
      <c r="B1689" s="1" t="s">
        <v>4143</v>
      </c>
      <c r="C1689" s="1" t="s">
        <v>4173</v>
      </c>
      <c r="D1689" s="1" t="str">
        <f>"7510"</f>
        <v>7510</v>
      </c>
      <c r="E1689" s="1" t="s">
        <v>4174</v>
      </c>
      <c r="F1689" s="1" t="s">
        <v>4175</v>
      </c>
      <c r="G1689" s="3" t="s">
        <v>290</v>
      </c>
      <c r="H1689" s="3" t="str">
        <f>"3"</f>
        <v>3</v>
      </c>
      <c r="I1689" s="4" t="str">
        <f>"31"</f>
        <v>31</v>
      </c>
      <c r="J1689" s="2">
        <v>45902</v>
      </c>
      <c r="K1689" s="1" t="s">
        <v>4176</v>
      </c>
    </row>
    <row r="1690" spans="1:11" x14ac:dyDescent="0.35">
      <c r="A1690" s="3" t="s">
        <v>4087</v>
      </c>
      <c r="B1690" s="1" t="s">
        <v>4143</v>
      </c>
      <c r="C1690" s="1" t="s">
        <v>4202</v>
      </c>
      <c r="D1690" s="1" t="str">
        <f>"8145"</f>
        <v>8145</v>
      </c>
      <c r="E1690" s="1" t="s">
        <v>743</v>
      </c>
      <c r="F1690" s="1" t="s">
        <v>744</v>
      </c>
      <c r="G1690" s="3" t="s">
        <v>15</v>
      </c>
      <c r="H1690" s="3" t="str">
        <f>"1"</f>
        <v>1</v>
      </c>
      <c r="I1690" s="4">
        <v>249.99</v>
      </c>
      <c r="J1690" s="2">
        <v>45902</v>
      </c>
      <c r="K1690" s="1" t="s">
        <v>4203</v>
      </c>
    </row>
    <row r="1691" spans="1:11" x14ac:dyDescent="0.35">
      <c r="A1691" s="3" t="s">
        <v>4087</v>
      </c>
      <c r="B1691" s="1" t="s">
        <v>4143</v>
      </c>
      <c r="C1691" s="1" t="s">
        <v>4212</v>
      </c>
      <c r="D1691" s="1" t="str">
        <f>"8405"</f>
        <v>8405</v>
      </c>
      <c r="E1691" s="1" t="str">
        <f>"015472559"</f>
        <v>015472559</v>
      </c>
      <c r="F1691" s="1" t="s">
        <v>964</v>
      </c>
      <c r="G1691" s="3" t="s">
        <v>15</v>
      </c>
      <c r="H1691" s="3" t="str">
        <f>"20"</f>
        <v>20</v>
      </c>
      <c r="I1691" s="4">
        <v>39.92</v>
      </c>
      <c r="J1691" s="2">
        <v>45902</v>
      </c>
      <c r="K1691" s="1" t="s">
        <v>4213</v>
      </c>
    </row>
    <row r="1692" spans="1:11" x14ac:dyDescent="0.35">
      <c r="A1692" s="3" t="s">
        <v>4087</v>
      </c>
      <c r="B1692" s="1" t="s">
        <v>4143</v>
      </c>
      <c r="C1692" s="1" t="s">
        <v>4154</v>
      </c>
      <c r="D1692" s="1" t="str">
        <f>"5855"</f>
        <v>5855</v>
      </c>
      <c r="E1692" s="1" t="str">
        <f>"015777174"</f>
        <v>015777174</v>
      </c>
      <c r="F1692" s="1" t="s">
        <v>1931</v>
      </c>
      <c r="G1692" s="3" t="s">
        <v>15</v>
      </c>
      <c r="H1692" s="3" t="str">
        <f>"1"</f>
        <v>1</v>
      </c>
      <c r="I1692" s="4" t="str">
        <f>"1800"</f>
        <v>1800</v>
      </c>
      <c r="J1692" s="2">
        <v>45898</v>
      </c>
      <c r="K1692" s="1" t="s">
        <v>4155</v>
      </c>
    </row>
    <row r="1693" spans="1:11" x14ac:dyDescent="0.35">
      <c r="A1693" s="3" t="s">
        <v>4087</v>
      </c>
      <c r="B1693" s="1" t="s">
        <v>4093</v>
      </c>
      <c r="C1693" s="1" t="s">
        <v>4096</v>
      </c>
      <c r="D1693" s="1" t="str">
        <f>"5140"</f>
        <v>5140</v>
      </c>
      <c r="E1693" s="1" t="s">
        <v>161</v>
      </c>
      <c r="F1693" s="1" t="s">
        <v>162</v>
      </c>
      <c r="G1693" s="3" t="s">
        <v>15</v>
      </c>
      <c r="H1693" s="3" t="str">
        <f>"1"</f>
        <v>1</v>
      </c>
      <c r="I1693" s="4" t="str">
        <f>"1645"</f>
        <v>1645</v>
      </c>
      <c r="J1693" s="2">
        <v>45883</v>
      </c>
      <c r="K1693" s="1" t="s">
        <v>4097</v>
      </c>
    </row>
    <row r="1694" spans="1:11" x14ac:dyDescent="0.35">
      <c r="A1694" s="3" t="s">
        <v>4087</v>
      </c>
      <c r="B1694" s="1" t="s">
        <v>4093</v>
      </c>
      <c r="C1694" s="1" t="s">
        <v>4098</v>
      </c>
      <c r="D1694" s="1" t="str">
        <f>"5140"</f>
        <v>5140</v>
      </c>
      <c r="E1694" s="1" t="s">
        <v>161</v>
      </c>
      <c r="F1694" s="1" t="s">
        <v>162</v>
      </c>
      <c r="G1694" s="3" t="s">
        <v>15</v>
      </c>
      <c r="H1694" s="3" t="str">
        <f>"1"</f>
        <v>1</v>
      </c>
      <c r="I1694" s="4" t="str">
        <f>"1646"</f>
        <v>1646</v>
      </c>
      <c r="J1694" s="2">
        <v>45883</v>
      </c>
      <c r="K1694" s="1" t="s">
        <v>4097</v>
      </c>
    </row>
    <row r="1695" spans="1:11" x14ac:dyDescent="0.35">
      <c r="A1695" s="3" t="s">
        <v>4087</v>
      </c>
      <c r="B1695" s="1" t="s">
        <v>4093</v>
      </c>
      <c r="C1695" s="1" t="s">
        <v>4099</v>
      </c>
      <c r="D1695" s="1" t="str">
        <f>"5440"</f>
        <v>5440</v>
      </c>
      <c r="E1695" s="1" t="str">
        <f>"016969999"</f>
        <v>016969999</v>
      </c>
      <c r="F1695" s="1" t="s">
        <v>4100</v>
      </c>
      <c r="G1695" s="3" t="s">
        <v>15</v>
      </c>
      <c r="H1695" s="3" t="str">
        <f>"1"</f>
        <v>1</v>
      </c>
      <c r="I1695" s="4">
        <v>995.92</v>
      </c>
      <c r="J1695" s="2">
        <v>45883</v>
      </c>
      <c r="K1695" s="1" t="s">
        <v>4101</v>
      </c>
    </row>
    <row r="1696" spans="1:11" x14ac:dyDescent="0.35">
      <c r="A1696" s="3" t="s">
        <v>4087</v>
      </c>
      <c r="B1696" s="1" t="s">
        <v>4093</v>
      </c>
      <c r="C1696" s="1" t="s">
        <v>4106</v>
      </c>
      <c r="D1696" s="1" t="str">
        <f>"6650"</f>
        <v>6650</v>
      </c>
      <c r="E1696" s="1" t="str">
        <f>"015219875"</f>
        <v>015219875</v>
      </c>
      <c r="F1696" s="1" t="s">
        <v>4107</v>
      </c>
      <c r="G1696" s="3" t="s">
        <v>15</v>
      </c>
      <c r="H1696" s="3" t="str">
        <f>"3"</f>
        <v>3</v>
      </c>
      <c r="I1696" s="4">
        <v>430.43</v>
      </c>
      <c r="J1696" s="2">
        <v>45883</v>
      </c>
      <c r="K1696" s="1" t="s">
        <v>4108</v>
      </c>
    </row>
    <row r="1697" spans="1:11" x14ac:dyDescent="0.35">
      <c r="A1697" s="3" t="s">
        <v>4087</v>
      </c>
      <c r="B1697" s="1" t="s">
        <v>4093</v>
      </c>
      <c r="C1697" s="1" t="s">
        <v>4111</v>
      </c>
      <c r="D1697" s="1" t="str">
        <f>"6760"</f>
        <v>6760</v>
      </c>
      <c r="E1697" s="1" t="str">
        <f>"015039114"</f>
        <v>015039114</v>
      </c>
      <c r="F1697" s="1" t="s">
        <v>886</v>
      </c>
      <c r="G1697" s="3" t="s">
        <v>15</v>
      </c>
      <c r="H1697" s="3" t="str">
        <f>"1"</f>
        <v>1</v>
      </c>
      <c r="I1697" s="4">
        <v>496.35</v>
      </c>
      <c r="J1697" s="2">
        <v>45883</v>
      </c>
      <c r="K1697" s="1" t="s">
        <v>4108</v>
      </c>
    </row>
    <row r="1698" spans="1:11" x14ac:dyDescent="0.35">
      <c r="A1698" s="3" t="s">
        <v>4087</v>
      </c>
      <c r="B1698" s="1" t="s">
        <v>4093</v>
      </c>
      <c r="C1698" s="1" t="s">
        <v>4114</v>
      </c>
      <c r="D1698" s="1" t="str">
        <f>"7730"</f>
        <v>7730</v>
      </c>
      <c r="E1698" s="1" t="s">
        <v>4115</v>
      </c>
      <c r="F1698" s="1" t="s">
        <v>4116</v>
      </c>
      <c r="G1698" s="3" t="s">
        <v>15</v>
      </c>
      <c r="H1698" s="3" t="str">
        <f>"1"</f>
        <v>1</v>
      </c>
      <c r="I1698" s="4" t="str">
        <f>"499"</f>
        <v>499</v>
      </c>
      <c r="J1698" s="2">
        <v>45883</v>
      </c>
      <c r="K1698" s="1" t="s">
        <v>4117</v>
      </c>
    </row>
    <row r="1699" spans="1:11" x14ac:dyDescent="0.35">
      <c r="A1699" s="3" t="s">
        <v>4087</v>
      </c>
      <c r="B1699" s="1" t="s">
        <v>4093</v>
      </c>
      <c r="C1699" s="1" t="s">
        <v>4118</v>
      </c>
      <c r="D1699" s="1" t="str">
        <f>"7920"</f>
        <v>7920</v>
      </c>
      <c r="E1699" s="1" t="str">
        <f>"001711148"</f>
        <v>001711148</v>
      </c>
      <c r="F1699" s="1" t="s">
        <v>4119</v>
      </c>
      <c r="G1699" s="3" t="s">
        <v>15</v>
      </c>
      <c r="H1699" s="3" t="str">
        <f>"8"</f>
        <v>8</v>
      </c>
      <c r="I1699" s="4">
        <v>5.86</v>
      </c>
      <c r="J1699" s="2">
        <v>45883</v>
      </c>
      <c r="K1699" s="1" t="s">
        <v>4120</v>
      </c>
    </row>
    <row r="1700" spans="1:11" x14ac:dyDescent="0.35">
      <c r="A1700" s="3" t="s">
        <v>4087</v>
      </c>
      <c r="B1700" s="1" t="s">
        <v>4143</v>
      </c>
      <c r="C1700" s="1" t="s">
        <v>4163</v>
      </c>
      <c r="D1700" s="1" t="str">
        <f>"6545"</f>
        <v>6545</v>
      </c>
      <c r="E1700" s="1" t="str">
        <f>"015472752"</f>
        <v>015472752</v>
      </c>
      <c r="F1700" s="1" t="s">
        <v>4164</v>
      </c>
      <c r="G1700" s="3" t="s">
        <v>15</v>
      </c>
      <c r="H1700" s="3" t="str">
        <f>"2"</f>
        <v>2</v>
      </c>
      <c r="I1700" s="4">
        <v>273.69</v>
      </c>
      <c r="J1700" s="2">
        <v>45883</v>
      </c>
      <c r="K1700" s="1" t="s">
        <v>4165</v>
      </c>
    </row>
    <row r="1701" spans="1:11" x14ac:dyDescent="0.35">
      <c r="A1701" s="3" t="s">
        <v>4087</v>
      </c>
      <c r="B1701" s="1" t="s">
        <v>4143</v>
      </c>
      <c r="C1701" s="1" t="s">
        <v>4172</v>
      </c>
      <c r="D1701" s="1" t="str">
        <f>"7110"</f>
        <v>7110</v>
      </c>
      <c r="E1701" s="1" t="s">
        <v>2939</v>
      </c>
      <c r="F1701" s="1" t="s">
        <v>2940</v>
      </c>
      <c r="G1701" s="3" t="s">
        <v>15</v>
      </c>
      <c r="H1701" s="3" t="str">
        <f>"1"</f>
        <v>1</v>
      </c>
      <c r="I1701" s="4" t="str">
        <f>"159"</f>
        <v>159</v>
      </c>
      <c r="J1701" s="2">
        <v>45883</v>
      </c>
      <c r="K1701" s="1" t="s">
        <v>4313</v>
      </c>
    </row>
    <row r="1702" spans="1:11" x14ac:dyDescent="0.35">
      <c r="A1702" s="3" t="s">
        <v>4087</v>
      </c>
      <c r="B1702" s="1" t="s">
        <v>4121</v>
      </c>
      <c r="C1702" s="1" t="s">
        <v>4122</v>
      </c>
      <c r="D1702" s="1" t="str">
        <f>"2330"</f>
        <v>2330</v>
      </c>
      <c r="E1702" s="1" t="s">
        <v>70</v>
      </c>
      <c r="F1702" s="1" t="s">
        <v>71</v>
      </c>
      <c r="G1702" s="3" t="s">
        <v>15</v>
      </c>
      <c r="H1702" s="3" t="str">
        <f>"1"</f>
        <v>1</v>
      </c>
      <c r="I1702" s="4" t="str">
        <f>"50000"</f>
        <v>50000</v>
      </c>
      <c r="J1702" s="2">
        <v>45882</v>
      </c>
      <c r="K1702" s="1" t="s">
        <v>4123</v>
      </c>
    </row>
    <row r="1703" spans="1:11" x14ac:dyDescent="0.35">
      <c r="A1703" s="3" t="s">
        <v>4087</v>
      </c>
      <c r="B1703" s="1" t="s">
        <v>4121</v>
      </c>
      <c r="C1703" s="1" t="s">
        <v>4131</v>
      </c>
      <c r="D1703" s="1" t="str">
        <f>"7930"</f>
        <v>7930</v>
      </c>
      <c r="E1703" s="1" t="str">
        <f>"002691272"</f>
        <v>002691272</v>
      </c>
      <c r="F1703" s="1" t="s">
        <v>4132</v>
      </c>
      <c r="G1703" s="3" t="s">
        <v>1317</v>
      </c>
      <c r="H1703" s="3" t="str">
        <f>"5"</f>
        <v>5</v>
      </c>
      <c r="I1703" s="4">
        <v>44.95</v>
      </c>
      <c r="J1703" s="2">
        <v>45882</v>
      </c>
      <c r="K1703" s="1" t="s">
        <v>4133</v>
      </c>
    </row>
    <row r="1704" spans="1:11" x14ac:dyDescent="0.35">
      <c r="A1704" s="3" t="s">
        <v>4087</v>
      </c>
      <c r="B1704" s="1" t="s">
        <v>4143</v>
      </c>
      <c r="C1704" s="1" t="s">
        <v>4161</v>
      </c>
      <c r="D1704" s="1" t="str">
        <f>"6545"</f>
        <v>6545</v>
      </c>
      <c r="E1704" s="1" t="str">
        <f>"015300929"</f>
        <v>015300929</v>
      </c>
      <c r="F1704" s="1" t="s">
        <v>293</v>
      </c>
      <c r="G1704" s="3" t="s">
        <v>19</v>
      </c>
      <c r="H1704" s="3" t="str">
        <f>"4"</f>
        <v>4</v>
      </c>
      <c r="I1704" s="4">
        <v>62.81</v>
      </c>
      <c r="J1704" s="2">
        <v>45874</v>
      </c>
      <c r="K1704" s="1" t="s">
        <v>4162</v>
      </c>
    </row>
    <row r="1705" spans="1:11" x14ac:dyDescent="0.35">
      <c r="A1705" s="3" t="s">
        <v>4087</v>
      </c>
      <c r="B1705" s="1" t="s">
        <v>4143</v>
      </c>
      <c r="C1705" s="1" t="s">
        <v>4166</v>
      </c>
      <c r="D1705" s="1" t="str">
        <f>"6545"</f>
        <v>6545</v>
      </c>
      <c r="E1705" s="1" t="str">
        <f>"015841582"</f>
        <v>015841582</v>
      </c>
      <c r="F1705" s="1" t="s">
        <v>1046</v>
      </c>
      <c r="G1705" s="3" t="s">
        <v>19</v>
      </c>
      <c r="H1705" s="3" t="str">
        <f>"1"</f>
        <v>1</v>
      </c>
      <c r="I1705" s="4">
        <v>103.24</v>
      </c>
      <c r="J1705" s="2">
        <v>45874</v>
      </c>
      <c r="K1705" s="1" t="s">
        <v>4162</v>
      </c>
    </row>
    <row r="1706" spans="1:11" x14ac:dyDescent="0.35">
      <c r="A1706" s="3" t="s">
        <v>4087</v>
      </c>
      <c r="B1706" s="1" t="s">
        <v>4143</v>
      </c>
      <c r="C1706" s="1" t="s">
        <v>4187</v>
      </c>
      <c r="D1706" s="1" t="str">
        <f>"8105"</f>
        <v>8105</v>
      </c>
      <c r="E1706" s="1" t="s">
        <v>1737</v>
      </c>
      <c r="F1706" s="1" t="s">
        <v>1738</v>
      </c>
      <c r="G1706" s="3" t="s">
        <v>15</v>
      </c>
      <c r="H1706" s="3" t="str">
        <f>"500"</f>
        <v>500</v>
      </c>
      <c r="I1706" s="4" t="str">
        <f>"1"</f>
        <v>1</v>
      </c>
      <c r="J1706" s="2">
        <v>45874</v>
      </c>
      <c r="K1706" s="1" t="s">
        <v>4188</v>
      </c>
    </row>
    <row r="1707" spans="1:11" x14ac:dyDescent="0.35">
      <c r="A1707" s="3" t="s">
        <v>4087</v>
      </c>
      <c r="B1707" s="1" t="s">
        <v>4143</v>
      </c>
      <c r="C1707" s="1" t="s">
        <v>4189</v>
      </c>
      <c r="D1707" s="1" t="str">
        <f>"8105"</f>
        <v>8105</v>
      </c>
      <c r="E1707" s="1" t="str">
        <f>"012842923"</f>
        <v>012842923</v>
      </c>
      <c r="F1707" s="1" t="s">
        <v>4190</v>
      </c>
      <c r="G1707" s="3" t="s">
        <v>4191</v>
      </c>
      <c r="H1707" s="3" t="str">
        <f>"6"</f>
        <v>6</v>
      </c>
      <c r="I1707" s="4">
        <v>168.92</v>
      </c>
      <c r="J1707" s="2">
        <v>45874</v>
      </c>
      <c r="K1707" s="1" t="s">
        <v>4192</v>
      </c>
    </row>
    <row r="1708" spans="1:11" x14ac:dyDescent="0.35">
      <c r="A1708" s="3" t="s">
        <v>4087</v>
      </c>
      <c r="B1708" s="1" t="s">
        <v>4143</v>
      </c>
      <c r="C1708" s="1" t="s">
        <v>4224</v>
      </c>
      <c r="D1708" s="1" t="str">
        <f>"8465"</f>
        <v>8465</v>
      </c>
      <c r="E1708" s="1" t="str">
        <f>"015836329"</f>
        <v>015836329</v>
      </c>
      <c r="F1708" s="1" t="s">
        <v>53</v>
      </c>
      <c r="G1708" s="3" t="s">
        <v>15</v>
      </c>
      <c r="H1708" s="3" t="str">
        <f>"8"</f>
        <v>8</v>
      </c>
      <c r="I1708" s="4">
        <v>35.85</v>
      </c>
      <c r="J1708" s="2">
        <v>45874</v>
      </c>
      <c r="K1708" s="1" t="s">
        <v>4225</v>
      </c>
    </row>
    <row r="1709" spans="1:11" x14ac:dyDescent="0.35">
      <c r="A1709" s="3" t="s">
        <v>4087</v>
      </c>
      <c r="B1709" s="1" t="s">
        <v>4143</v>
      </c>
      <c r="C1709" s="1" t="s">
        <v>4226</v>
      </c>
      <c r="D1709" s="1" t="str">
        <f>"8465"</f>
        <v>8465</v>
      </c>
      <c r="E1709" s="1" t="str">
        <f>"015245250"</f>
        <v>015245250</v>
      </c>
      <c r="F1709" s="1" t="s">
        <v>921</v>
      </c>
      <c r="G1709" s="3" t="s">
        <v>15</v>
      </c>
      <c r="H1709" s="3" t="str">
        <f>"8"</f>
        <v>8</v>
      </c>
      <c r="I1709" s="4">
        <v>78.14</v>
      </c>
      <c r="J1709" s="2">
        <v>45874</v>
      </c>
      <c r="K1709" s="1" t="s">
        <v>4225</v>
      </c>
    </row>
    <row r="1710" spans="1:11" x14ac:dyDescent="0.35">
      <c r="A1710" s="3" t="s">
        <v>4087</v>
      </c>
      <c r="B1710" s="1" t="s">
        <v>4121</v>
      </c>
      <c r="C1710" s="1" t="s">
        <v>4126</v>
      </c>
      <c r="D1710" s="1" t="str">
        <f>"6625"</f>
        <v>6625</v>
      </c>
      <c r="E1710" s="1" t="str">
        <f>"015137811"</f>
        <v>015137811</v>
      </c>
      <c r="F1710" s="1" t="s">
        <v>1539</v>
      </c>
      <c r="G1710" s="3" t="s">
        <v>15</v>
      </c>
      <c r="H1710" s="3" t="str">
        <f>"1"</f>
        <v>1</v>
      </c>
      <c r="I1710" s="4">
        <v>5573.73</v>
      </c>
      <c r="J1710" s="2">
        <v>45869</v>
      </c>
      <c r="K1710" s="1" t="s">
        <v>4127</v>
      </c>
    </row>
    <row r="1711" spans="1:11" x14ac:dyDescent="0.35">
      <c r="A1711" s="3" t="s">
        <v>4087</v>
      </c>
      <c r="B1711" s="1" t="s">
        <v>4134</v>
      </c>
      <c r="C1711" s="1" t="s">
        <v>4139</v>
      </c>
      <c r="D1711" s="1" t="str">
        <f>"7210"</f>
        <v>7210</v>
      </c>
      <c r="E1711" s="1" t="str">
        <f>"002669736"</f>
        <v>002669736</v>
      </c>
      <c r="F1711" s="1" t="s">
        <v>2299</v>
      </c>
      <c r="G1711" s="3" t="s">
        <v>15</v>
      </c>
      <c r="H1711" s="3" t="str">
        <f>"8"</f>
        <v>8</v>
      </c>
      <c r="I1711" s="4">
        <v>97.59</v>
      </c>
      <c r="J1711" s="2">
        <v>45866</v>
      </c>
      <c r="K1711" s="1" t="s">
        <v>4140</v>
      </c>
    </row>
    <row r="1712" spans="1:11" x14ac:dyDescent="0.35">
      <c r="A1712" s="3" t="s">
        <v>4087</v>
      </c>
      <c r="B1712" s="1" t="s">
        <v>4134</v>
      </c>
      <c r="C1712" s="1" t="s">
        <v>4141</v>
      </c>
      <c r="D1712" s="1" t="str">
        <f>"7210"</f>
        <v>7210</v>
      </c>
      <c r="E1712" s="1" t="str">
        <f>"015207136"</f>
        <v>015207136</v>
      </c>
      <c r="F1712" s="1" t="s">
        <v>2299</v>
      </c>
      <c r="G1712" s="3" t="s">
        <v>15</v>
      </c>
      <c r="H1712" s="3" t="str">
        <f>"1"</f>
        <v>1</v>
      </c>
      <c r="I1712" s="4">
        <v>82.4</v>
      </c>
      <c r="J1712" s="2">
        <v>45866</v>
      </c>
      <c r="K1712" s="1" t="s">
        <v>4142</v>
      </c>
    </row>
    <row r="1713" spans="1:11" x14ac:dyDescent="0.35">
      <c r="A1713" s="3" t="s">
        <v>4087</v>
      </c>
      <c r="B1713" s="1" t="s">
        <v>4248</v>
      </c>
      <c r="C1713" s="1" t="s">
        <v>4249</v>
      </c>
      <c r="D1713" s="1" t="str">
        <f>"7830"</f>
        <v>7830</v>
      </c>
      <c r="E1713" s="1" t="s">
        <v>4083</v>
      </c>
      <c r="F1713" s="1" t="s">
        <v>4084</v>
      </c>
      <c r="G1713" s="3" t="s">
        <v>15</v>
      </c>
      <c r="H1713" s="3" t="str">
        <f>"1"</f>
        <v>1</v>
      </c>
      <c r="I1713" s="4" t="str">
        <f>"1500"</f>
        <v>1500</v>
      </c>
      <c r="J1713" s="2">
        <v>45855</v>
      </c>
      <c r="K1713" s="1" t="s">
        <v>4250</v>
      </c>
    </row>
    <row r="1714" spans="1:11" x14ac:dyDescent="0.35">
      <c r="A1714" s="3" t="s">
        <v>4087</v>
      </c>
      <c r="B1714" s="1" t="s">
        <v>4248</v>
      </c>
      <c r="C1714" s="1" t="s">
        <v>4251</v>
      </c>
      <c r="D1714" s="1" t="str">
        <f>"7830"</f>
        <v>7830</v>
      </c>
      <c r="E1714" s="1" t="s">
        <v>800</v>
      </c>
      <c r="F1714" s="1" t="s">
        <v>801</v>
      </c>
      <c r="G1714" s="3" t="s">
        <v>15</v>
      </c>
      <c r="H1714" s="3" t="str">
        <f>"1"</f>
        <v>1</v>
      </c>
      <c r="I1714" s="4" t="str">
        <f>"5000"</f>
        <v>5000</v>
      </c>
      <c r="J1714" s="2">
        <v>45855</v>
      </c>
      <c r="K1714" s="1" t="s">
        <v>4252</v>
      </c>
    </row>
    <row r="1715" spans="1:11" x14ac:dyDescent="0.35">
      <c r="A1715" s="3" t="s">
        <v>4087</v>
      </c>
      <c r="B1715" s="1" t="s">
        <v>4241</v>
      </c>
      <c r="C1715" s="1" t="s">
        <v>4242</v>
      </c>
      <c r="D1715" s="1" t="str">
        <f>"1385"</f>
        <v>1385</v>
      </c>
      <c r="E1715" s="1" t="s">
        <v>4243</v>
      </c>
      <c r="F1715" s="1" t="s">
        <v>4244</v>
      </c>
      <c r="G1715" s="3" t="s">
        <v>19</v>
      </c>
      <c r="H1715" s="3" t="str">
        <f>"6"</f>
        <v>6</v>
      </c>
      <c r="I1715" s="4" t="str">
        <f>"3000"</f>
        <v>3000</v>
      </c>
      <c r="J1715" s="2">
        <v>45853</v>
      </c>
      <c r="K1715" s="1" t="s">
        <v>4245</v>
      </c>
    </row>
    <row r="1716" spans="1:11" x14ac:dyDescent="0.35">
      <c r="A1716" s="3" t="s">
        <v>4087</v>
      </c>
      <c r="B1716" s="1" t="s">
        <v>4241</v>
      </c>
      <c r="C1716" s="1" t="s">
        <v>4246</v>
      </c>
      <c r="D1716" s="1" t="str">
        <f>"5180"</f>
        <v>5180</v>
      </c>
      <c r="E1716" s="1" t="str">
        <f>"015632595"</f>
        <v>015632595</v>
      </c>
      <c r="F1716" s="1" t="s">
        <v>165</v>
      </c>
      <c r="G1716" s="3" t="s">
        <v>15</v>
      </c>
      <c r="H1716" s="3" t="str">
        <f>"1"</f>
        <v>1</v>
      </c>
      <c r="I1716" s="4" t="str">
        <f>"7600"</f>
        <v>7600</v>
      </c>
      <c r="J1716" s="2">
        <v>45840</v>
      </c>
      <c r="K1716" s="1" t="s">
        <v>4247</v>
      </c>
    </row>
    <row r="1717" spans="1:11" x14ac:dyDescent="0.35">
      <c r="A1717" s="3" t="s">
        <v>4253</v>
      </c>
      <c r="B1717" s="1" t="s">
        <v>4254</v>
      </c>
      <c r="C1717" s="1" t="s">
        <v>4255</v>
      </c>
      <c r="D1717" s="1" t="str">
        <f>"1940"</f>
        <v>1940</v>
      </c>
      <c r="E1717" s="1" t="s">
        <v>567</v>
      </c>
      <c r="F1717" s="1" t="s">
        <v>568</v>
      </c>
      <c r="G1717" s="3" t="s">
        <v>15</v>
      </c>
      <c r="H1717" s="3" t="str">
        <f>"1"</f>
        <v>1</v>
      </c>
      <c r="I1717" s="4" t="str">
        <f>"6700"</f>
        <v>6700</v>
      </c>
      <c r="J1717" s="2">
        <v>45925</v>
      </c>
      <c r="K1717" s="1" t="s">
        <v>4256</v>
      </c>
    </row>
    <row r="1718" spans="1:11" x14ac:dyDescent="0.35">
      <c r="A1718" s="3" t="s">
        <v>4253</v>
      </c>
      <c r="B1718" s="1" t="s">
        <v>4276</v>
      </c>
      <c r="C1718" s="1" t="s">
        <v>4277</v>
      </c>
      <c r="D1718" s="1" t="str">
        <f>"2340"</f>
        <v>2340</v>
      </c>
      <c r="E1718" s="1" t="str">
        <f>"014202816"</f>
        <v>014202816</v>
      </c>
      <c r="F1718" s="1" t="s">
        <v>623</v>
      </c>
      <c r="G1718" s="3" t="s">
        <v>15</v>
      </c>
      <c r="H1718" s="3" t="str">
        <f>"1"</f>
        <v>1</v>
      </c>
      <c r="I1718" s="4">
        <v>9662.31</v>
      </c>
      <c r="J1718" s="2">
        <v>45923</v>
      </c>
      <c r="K1718" s="1" t="s">
        <v>4278</v>
      </c>
    </row>
    <row r="1719" spans="1:11" x14ac:dyDescent="0.35">
      <c r="A1719" s="3" t="s">
        <v>4253</v>
      </c>
      <c r="B1719" s="1" t="s">
        <v>4254</v>
      </c>
      <c r="C1719" s="1" t="s">
        <v>4257</v>
      </c>
      <c r="D1719" s="1" t="str">
        <f>"2310"</f>
        <v>2310</v>
      </c>
      <c r="E1719" s="1" t="s">
        <v>413</v>
      </c>
      <c r="F1719" s="1" t="s">
        <v>414</v>
      </c>
      <c r="G1719" s="3" t="s">
        <v>15</v>
      </c>
      <c r="H1719" s="3" t="str">
        <f>"1"</f>
        <v>1</v>
      </c>
      <c r="I1719" s="4">
        <v>22553.95</v>
      </c>
      <c r="J1719" s="2">
        <v>45902</v>
      </c>
      <c r="K1719" s="1" t="s">
        <v>4258</v>
      </c>
    </row>
    <row r="1720" spans="1:11" x14ac:dyDescent="0.35">
      <c r="A1720" s="3" t="s">
        <v>4253</v>
      </c>
      <c r="B1720" s="1" t="s">
        <v>4271</v>
      </c>
      <c r="C1720" s="1" t="s">
        <v>4272</v>
      </c>
      <c r="D1720" s="1" t="str">
        <f>"5855"</f>
        <v>5855</v>
      </c>
      <c r="E1720" s="1" t="str">
        <f>"014684169"</f>
        <v>014684169</v>
      </c>
      <c r="F1720" s="1" t="s">
        <v>1931</v>
      </c>
      <c r="G1720" s="3" t="s">
        <v>15</v>
      </c>
      <c r="H1720" s="3" t="str">
        <f>"17"</f>
        <v>17</v>
      </c>
      <c r="I1720" s="4">
        <v>918.54</v>
      </c>
      <c r="J1720" s="2">
        <v>45899</v>
      </c>
      <c r="K1720" s="1" t="s">
        <v>4273</v>
      </c>
    </row>
    <row r="1721" spans="1:11" x14ac:dyDescent="0.35">
      <c r="A1721" s="3" t="s">
        <v>4253</v>
      </c>
      <c r="B1721" s="1" t="s">
        <v>4268</v>
      </c>
      <c r="C1721" s="1" t="s">
        <v>4269</v>
      </c>
      <c r="D1721" s="1" t="str">
        <f>"2340"</f>
        <v>2340</v>
      </c>
      <c r="E1721" s="1" t="s">
        <v>647</v>
      </c>
      <c r="F1721" s="1" t="s">
        <v>648</v>
      </c>
      <c r="G1721" s="3" t="s">
        <v>15</v>
      </c>
      <c r="H1721" s="3" t="str">
        <f>"1"</f>
        <v>1</v>
      </c>
      <c r="I1721" s="4" t="str">
        <f>"5000"</f>
        <v>5000</v>
      </c>
      <c r="J1721" s="2">
        <v>45888</v>
      </c>
      <c r="K1721" s="1" t="s">
        <v>4270</v>
      </c>
    </row>
    <row r="1722" spans="1:11" x14ac:dyDescent="0.35">
      <c r="A1722" s="3" t="s">
        <v>4253</v>
      </c>
      <c r="B1722" s="1" t="s">
        <v>4276</v>
      </c>
      <c r="C1722" s="1" t="s">
        <v>4279</v>
      </c>
      <c r="D1722" s="1" t="str">
        <f>"6515"</f>
        <v>6515</v>
      </c>
      <c r="E1722" s="1" t="s">
        <v>249</v>
      </c>
      <c r="F1722" s="1" t="s">
        <v>250</v>
      </c>
      <c r="G1722" s="3" t="s">
        <v>15</v>
      </c>
      <c r="H1722" s="3" t="str">
        <f>"3"</f>
        <v>3</v>
      </c>
      <c r="I1722" s="4" t="str">
        <f>"900"</f>
        <v>900</v>
      </c>
      <c r="J1722" s="2">
        <v>45883</v>
      </c>
      <c r="K1722" s="1" t="s">
        <v>4280</v>
      </c>
    </row>
    <row r="1723" spans="1:11" x14ac:dyDescent="0.35">
      <c r="A1723" s="3" t="s">
        <v>4253</v>
      </c>
      <c r="B1723" s="1" t="s">
        <v>4271</v>
      </c>
      <c r="C1723" s="1" t="s">
        <v>4274</v>
      </c>
      <c r="D1723" s="1" t="str">
        <f>"6260"</f>
        <v>6260</v>
      </c>
      <c r="E1723" s="1" t="str">
        <f>"011785559"</f>
        <v>011785559</v>
      </c>
      <c r="F1723" s="1" t="s">
        <v>657</v>
      </c>
      <c r="G1723" s="3" t="s">
        <v>290</v>
      </c>
      <c r="H1723" s="3" t="str">
        <f>"46"</f>
        <v>46</v>
      </c>
      <c r="I1723" s="4">
        <v>28.94</v>
      </c>
      <c r="J1723" s="2">
        <v>45882</v>
      </c>
      <c r="K1723" s="1" t="s">
        <v>4275</v>
      </c>
    </row>
    <row r="1724" spans="1:11" x14ac:dyDescent="0.35">
      <c r="A1724" s="3" t="s">
        <v>4253</v>
      </c>
      <c r="B1724" s="1" t="s">
        <v>4254</v>
      </c>
      <c r="C1724" s="1" t="s">
        <v>4259</v>
      </c>
      <c r="D1724" s="1" t="str">
        <f>"2330"</f>
        <v>2330</v>
      </c>
      <c r="E1724" s="1" t="s">
        <v>70</v>
      </c>
      <c r="F1724" s="1" t="s">
        <v>71</v>
      </c>
      <c r="G1724" s="3" t="s">
        <v>15</v>
      </c>
      <c r="H1724" s="3" t="str">
        <f>"1"</f>
        <v>1</v>
      </c>
      <c r="I1724" s="4" t="str">
        <f>"2695"</f>
        <v>2695</v>
      </c>
      <c r="J1724" s="2">
        <v>45862</v>
      </c>
      <c r="K1724" s="1" t="s">
        <v>4260</v>
      </c>
    </row>
    <row r="1725" spans="1:11" x14ac:dyDescent="0.35">
      <c r="A1725" s="3" t="s">
        <v>4253</v>
      </c>
      <c r="B1725" s="1" t="s">
        <v>4254</v>
      </c>
      <c r="C1725" s="1" t="s">
        <v>4261</v>
      </c>
      <c r="D1725" s="1" t="str">
        <f>"2330"</f>
        <v>2330</v>
      </c>
      <c r="E1725" s="1" t="s">
        <v>70</v>
      </c>
      <c r="F1725" s="1" t="s">
        <v>71</v>
      </c>
      <c r="G1725" s="3" t="s">
        <v>15</v>
      </c>
      <c r="H1725" s="3" t="str">
        <f>"1"</f>
        <v>1</v>
      </c>
      <c r="I1725" s="4" t="str">
        <f>"2499"</f>
        <v>2499</v>
      </c>
      <c r="J1725" s="2">
        <v>45862</v>
      </c>
      <c r="K1725" s="1" t="s">
        <v>4260</v>
      </c>
    </row>
    <row r="1726" spans="1:11" x14ac:dyDescent="0.35">
      <c r="A1726" s="3" t="s">
        <v>4253</v>
      </c>
      <c r="B1726" s="1" t="s">
        <v>4254</v>
      </c>
      <c r="C1726" s="1" t="s">
        <v>4262</v>
      </c>
      <c r="D1726" s="1" t="str">
        <f>"6115"</f>
        <v>6115</v>
      </c>
      <c r="E1726" s="1" t="s">
        <v>174</v>
      </c>
      <c r="F1726" s="1" t="s">
        <v>175</v>
      </c>
      <c r="G1726" s="3" t="s">
        <v>15</v>
      </c>
      <c r="H1726" s="3" t="str">
        <f>"1"</f>
        <v>1</v>
      </c>
      <c r="I1726" s="4" t="str">
        <f>"800"</f>
        <v>800</v>
      </c>
      <c r="J1726" s="2">
        <v>45862</v>
      </c>
      <c r="K1726" s="1" t="s">
        <v>4263</v>
      </c>
    </row>
    <row r="1727" spans="1:11" x14ac:dyDescent="0.35">
      <c r="A1727" s="3" t="s">
        <v>4253</v>
      </c>
      <c r="B1727" s="1" t="s">
        <v>4264</v>
      </c>
      <c r="C1727" s="1" t="s">
        <v>4265</v>
      </c>
      <c r="D1727" s="1" t="str">
        <f>"6515"</f>
        <v>6515</v>
      </c>
      <c r="E1727" s="1" t="str">
        <f>"015599947"</f>
        <v>015599947</v>
      </c>
      <c r="F1727" s="1" t="s">
        <v>4266</v>
      </c>
      <c r="G1727" s="3" t="s">
        <v>15</v>
      </c>
      <c r="H1727" s="3" t="str">
        <f>"20"</f>
        <v>20</v>
      </c>
      <c r="I1727" s="4">
        <v>148.51</v>
      </c>
      <c r="J1727" s="2">
        <v>45848</v>
      </c>
      <c r="K1727" s="1" t="s">
        <v>4267</v>
      </c>
    </row>
    <row r="1728" spans="1:11" x14ac:dyDescent="0.35">
      <c r="A1728" s="3" t="s">
        <v>4253</v>
      </c>
      <c r="B1728" s="1" t="s">
        <v>4281</v>
      </c>
      <c r="C1728" s="1" t="s">
        <v>4282</v>
      </c>
      <c r="D1728" s="1" t="str">
        <f>"2320"</f>
        <v>2320</v>
      </c>
      <c r="E1728" s="1" t="str">
        <f>"015629341"</f>
        <v>015629341</v>
      </c>
      <c r="F1728" s="1" t="s">
        <v>604</v>
      </c>
      <c r="G1728" s="3" t="s">
        <v>15</v>
      </c>
      <c r="H1728" s="3" t="str">
        <f>"1"</f>
        <v>1</v>
      </c>
      <c r="I1728" s="4" t="str">
        <f>"321959"</f>
        <v>321959</v>
      </c>
      <c r="J1728" s="2">
        <v>45848</v>
      </c>
      <c r="K1728" s="1" t="s">
        <v>4283</v>
      </c>
    </row>
    <row r="1729" spans="1:11" x14ac:dyDescent="0.35">
      <c r="A1729" s="3" t="s">
        <v>4284</v>
      </c>
      <c r="B1729" s="1" t="s">
        <v>4285</v>
      </c>
      <c r="C1729" s="1" t="s">
        <v>4286</v>
      </c>
      <c r="D1729" s="1" t="str">
        <f>"1730"</f>
        <v>1730</v>
      </c>
      <c r="E1729" s="1" t="str">
        <f>"016664720"</f>
        <v>016664720</v>
      </c>
      <c r="F1729" s="1" t="s">
        <v>4287</v>
      </c>
      <c r="G1729" s="3" t="s">
        <v>15</v>
      </c>
      <c r="H1729" s="3" t="str">
        <f>"2"</f>
        <v>2</v>
      </c>
      <c r="I1729" s="4">
        <v>1056.0899999999999</v>
      </c>
      <c r="J1729" s="2">
        <v>45906</v>
      </c>
      <c r="K1729" s="1" t="s">
        <v>4288</v>
      </c>
    </row>
    <row r="1730" spans="1:11" x14ac:dyDescent="0.35">
      <c r="A1730" s="3" t="s">
        <v>4284</v>
      </c>
      <c r="B1730" s="1" t="s">
        <v>4285</v>
      </c>
      <c r="C1730" s="1" t="s">
        <v>4289</v>
      </c>
      <c r="D1730" s="1" t="str">
        <f>"1730"</f>
        <v>1730</v>
      </c>
      <c r="E1730" s="1" t="str">
        <f>"014242857"</f>
        <v>014242857</v>
      </c>
      <c r="F1730" s="1" t="s">
        <v>4287</v>
      </c>
      <c r="G1730" s="3" t="s">
        <v>15</v>
      </c>
      <c r="H1730" s="3" t="str">
        <f>"2"</f>
        <v>2</v>
      </c>
      <c r="I1730" s="4">
        <v>1758.95</v>
      </c>
      <c r="J1730" s="2">
        <v>45906</v>
      </c>
      <c r="K1730" s="1" t="s">
        <v>4288</v>
      </c>
    </row>
    <row r="1731" spans="1:11" x14ac:dyDescent="0.35">
      <c r="A1731" s="3" t="s">
        <v>4284</v>
      </c>
      <c r="B1731" s="1" t="s">
        <v>4285</v>
      </c>
      <c r="C1731" s="1" t="s">
        <v>4290</v>
      </c>
      <c r="D1731" s="1" t="str">
        <f>"1730"</f>
        <v>1730</v>
      </c>
      <c r="E1731" s="1" t="str">
        <f>"016664720"</f>
        <v>016664720</v>
      </c>
      <c r="F1731" s="1" t="s">
        <v>4287</v>
      </c>
      <c r="G1731" s="3" t="s">
        <v>15</v>
      </c>
      <c r="H1731" s="3" t="str">
        <f>"2"</f>
        <v>2</v>
      </c>
      <c r="I1731" s="4">
        <v>1056.0899999999999</v>
      </c>
      <c r="J1731" s="2">
        <v>45906</v>
      </c>
      <c r="K1731" s="1" t="s">
        <v>4288</v>
      </c>
    </row>
    <row r="1732" spans="1:11" x14ac:dyDescent="0.35">
      <c r="A1732" s="3" t="s">
        <v>4284</v>
      </c>
      <c r="B1732" s="1" t="s">
        <v>4285</v>
      </c>
      <c r="C1732" s="1" t="s">
        <v>4291</v>
      </c>
      <c r="D1732" s="1" t="str">
        <f>"5440"</f>
        <v>5440</v>
      </c>
      <c r="E1732" s="1" t="str">
        <f>"003573885"</f>
        <v>003573885</v>
      </c>
      <c r="F1732" s="1" t="s">
        <v>4292</v>
      </c>
      <c r="G1732" s="3" t="s">
        <v>15</v>
      </c>
      <c r="H1732" s="3" t="str">
        <f>"1"</f>
        <v>1</v>
      </c>
      <c r="I1732" s="4">
        <v>496.88</v>
      </c>
      <c r="J1732" s="2">
        <v>45906</v>
      </c>
      <c r="K1732" s="1" t="s">
        <v>4288</v>
      </c>
    </row>
    <row r="1733" spans="1:11" x14ac:dyDescent="0.35">
      <c r="A1733" s="3" t="s">
        <v>4284</v>
      </c>
      <c r="B1733" s="1" t="s">
        <v>4285</v>
      </c>
      <c r="C1733" s="1" t="s">
        <v>4293</v>
      </c>
      <c r="D1733" s="1" t="str">
        <f>"7035"</f>
        <v>7035</v>
      </c>
      <c r="E1733" s="1" t="s">
        <v>4294</v>
      </c>
      <c r="F1733" s="1" t="s">
        <v>4295</v>
      </c>
      <c r="G1733" s="3" t="s">
        <v>15</v>
      </c>
      <c r="H1733" s="3" t="str">
        <f>"2"</f>
        <v>2</v>
      </c>
      <c r="I1733" s="4" t="str">
        <f>"1000"</f>
        <v>1000</v>
      </c>
      <c r="J1733" s="2">
        <v>45906</v>
      </c>
      <c r="K1733" s="1" t="s">
        <v>4296</v>
      </c>
    </row>
    <row r="1734" spans="1:11" x14ac:dyDescent="0.35">
      <c r="A1734" s="3" t="s">
        <v>4284</v>
      </c>
      <c r="B1734" s="1" t="s">
        <v>4285</v>
      </c>
      <c r="C1734" s="1" t="s">
        <v>4297</v>
      </c>
      <c r="D1734" s="1" t="str">
        <f>"7105"</f>
        <v>7105</v>
      </c>
      <c r="E1734" s="1" t="s">
        <v>2894</v>
      </c>
      <c r="F1734" s="1" t="s">
        <v>2895</v>
      </c>
      <c r="G1734" s="3" t="s">
        <v>15</v>
      </c>
      <c r="H1734" s="3" t="str">
        <f>"1"</f>
        <v>1</v>
      </c>
      <c r="I1734" s="4" t="str">
        <f>"200"</f>
        <v>200</v>
      </c>
      <c r="J1734" s="2">
        <v>45906</v>
      </c>
      <c r="K1734" s="1" t="s">
        <v>4298</v>
      </c>
    </row>
    <row r="1735" spans="1:11" x14ac:dyDescent="0.35">
      <c r="A1735" s="3" t="s">
        <v>4284</v>
      </c>
      <c r="B1735" s="1" t="s">
        <v>4285</v>
      </c>
      <c r="C1735" s="1" t="s">
        <v>4299</v>
      </c>
      <c r="D1735" s="1" t="str">
        <f>"7920"</f>
        <v>7920</v>
      </c>
      <c r="E1735" s="1" t="str">
        <f>"013433776"</f>
        <v>013433776</v>
      </c>
      <c r="F1735" s="1" t="s">
        <v>4300</v>
      </c>
      <c r="G1735" s="3" t="s">
        <v>4301</v>
      </c>
      <c r="H1735" s="3" t="str">
        <f>"10"</f>
        <v>10</v>
      </c>
      <c r="I1735" s="4">
        <v>115.69</v>
      </c>
      <c r="J1735" s="2">
        <v>45906</v>
      </c>
      <c r="K1735" s="1" t="s">
        <v>4302</v>
      </c>
    </row>
    <row r="1736" spans="1:11" x14ac:dyDescent="0.35">
      <c r="A1736" s="3" t="s">
        <v>4284</v>
      </c>
      <c r="B1736" s="1" t="s">
        <v>4303</v>
      </c>
      <c r="C1736" s="1" t="s">
        <v>4304</v>
      </c>
      <c r="D1736" s="1" t="str">
        <f>"7025"</f>
        <v>7025</v>
      </c>
      <c r="E1736" s="1" t="s">
        <v>4305</v>
      </c>
      <c r="F1736" s="1" t="s">
        <v>4306</v>
      </c>
      <c r="G1736" s="3" t="s">
        <v>15</v>
      </c>
      <c r="H1736" s="3" t="str">
        <f>"2"</f>
        <v>2</v>
      </c>
      <c r="I1736" s="4" t="str">
        <f>"10164"</f>
        <v>10164</v>
      </c>
      <c r="J1736" s="2">
        <v>45883</v>
      </c>
      <c r="K1736" s="1" t="s">
        <v>4307</v>
      </c>
    </row>
    <row r="1737" spans="1:11" x14ac:dyDescent="0.35">
      <c r="A1737" s="3" t="s">
        <v>4308</v>
      </c>
      <c r="B1737" s="1" t="s">
        <v>4309</v>
      </c>
      <c r="C1737" s="1" t="s">
        <v>4310</v>
      </c>
      <c r="D1737" s="1" t="str">
        <f>"2310"</f>
        <v>2310</v>
      </c>
      <c r="E1737" s="1" t="s">
        <v>413</v>
      </c>
      <c r="F1737" s="1" t="s">
        <v>414</v>
      </c>
      <c r="G1737" s="3" t="s">
        <v>15</v>
      </c>
      <c r="H1737" s="3" t="str">
        <f>"1"</f>
        <v>1</v>
      </c>
      <c r="I1737" s="4">
        <v>12553.95</v>
      </c>
      <c r="J1737" s="2">
        <v>45904</v>
      </c>
      <c r="K1737" s="1" t="s">
        <v>4311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6043E-F4B4-473C-B821-E185D982293A}">
  <dimension ref="A1:N2605"/>
  <sheetViews>
    <sheetView workbookViewId="0">
      <selection sqref="A1:XFD1"/>
    </sheetView>
  </sheetViews>
  <sheetFormatPr defaultRowHeight="10" x14ac:dyDescent="0.35"/>
  <cols>
    <col min="1" max="1" width="21.36328125" style="1" bestFit="1" customWidth="1"/>
    <col min="2" max="2" width="5.81640625" style="3" bestFit="1" customWidth="1"/>
    <col min="3" max="3" width="46.1796875" style="1" bestFit="1" customWidth="1"/>
    <col min="4" max="4" width="16.1796875" style="1" bestFit="1" customWidth="1"/>
    <col min="5" max="5" width="4.81640625" style="1" bestFit="1" customWidth="1"/>
    <col min="6" max="6" width="12.6328125" style="1" bestFit="1" customWidth="1"/>
    <col min="7" max="7" width="44.453125" style="1" bestFit="1" customWidth="1"/>
    <col min="8" max="8" width="3.54296875" style="1" bestFit="1" customWidth="1"/>
    <col min="9" max="9" width="9.36328125" style="3" bestFit="1" customWidth="1"/>
    <col min="10" max="10" width="17.81640625" style="3" bestFit="1" customWidth="1"/>
    <col min="11" max="11" width="15.453125" style="1" bestFit="1" customWidth="1"/>
    <col min="12" max="12" width="17.81640625" style="1" bestFit="1" customWidth="1"/>
    <col min="13" max="14" width="255.6328125" style="1" bestFit="1" customWidth="1"/>
    <col min="15" max="16384" width="8.7265625" style="1"/>
  </cols>
  <sheetData>
    <row r="1" spans="1:14" x14ac:dyDescent="0.35">
      <c r="A1" s="1" t="s">
        <v>11059</v>
      </c>
      <c r="B1" s="3" t="s">
        <v>0</v>
      </c>
      <c r="C1" s="1" t="s">
        <v>1</v>
      </c>
      <c r="D1" s="1" t="s">
        <v>2</v>
      </c>
      <c r="E1" s="1" t="s">
        <v>3</v>
      </c>
      <c r="F1" s="1" t="s">
        <v>4</v>
      </c>
      <c r="G1" s="1" t="s">
        <v>5</v>
      </c>
      <c r="H1" s="1" t="s">
        <v>6</v>
      </c>
      <c r="I1" s="3" t="s">
        <v>7</v>
      </c>
      <c r="J1" s="3" t="s">
        <v>8</v>
      </c>
      <c r="K1" s="1" t="s">
        <v>11058</v>
      </c>
      <c r="L1" s="1" t="s">
        <v>11057</v>
      </c>
      <c r="M1" s="1" t="s">
        <v>10</v>
      </c>
      <c r="N1" s="1" t="s">
        <v>11056</v>
      </c>
    </row>
    <row r="2" spans="1:14" x14ac:dyDescent="0.35">
      <c r="A2" s="1" t="s">
        <v>11045</v>
      </c>
      <c r="B2" s="3" t="s">
        <v>2720</v>
      </c>
      <c r="C2" s="1" t="s">
        <v>2740</v>
      </c>
      <c r="D2" s="1" t="s">
        <v>11055</v>
      </c>
      <c r="E2" s="1" t="str">
        <f>"7010"</f>
        <v>7010</v>
      </c>
      <c r="F2" s="1" t="str">
        <f>"016501067"</f>
        <v>016501067</v>
      </c>
      <c r="G2" s="1" t="s">
        <v>1984</v>
      </c>
      <c r="H2" s="1" t="s">
        <v>15</v>
      </c>
      <c r="I2" s="3" t="str">
        <f>"1"</f>
        <v>1</v>
      </c>
      <c r="J2" s="3" t="str">
        <f>"2961"</f>
        <v>2961</v>
      </c>
      <c r="K2" s="2">
        <v>45881</v>
      </c>
      <c r="L2" s="2">
        <v>45894</v>
      </c>
      <c r="M2" s="1" t="s">
        <v>11054</v>
      </c>
      <c r="N2" s="1" t="s">
        <v>11048</v>
      </c>
    </row>
    <row r="3" spans="1:14" x14ac:dyDescent="0.35">
      <c r="A3" s="1" t="s">
        <v>11045</v>
      </c>
      <c r="B3" s="3" t="s">
        <v>2720</v>
      </c>
      <c r="C3" s="1" t="s">
        <v>2740</v>
      </c>
      <c r="D3" s="1" t="s">
        <v>11053</v>
      </c>
      <c r="E3" s="1" t="str">
        <f>"7010"</f>
        <v>7010</v>
      </c>
      <c r="F3" s="1" t="str">
        <f>"016501067"</f>
        <v>016501067</v>
      </c>
      <c r="G3" s="1" t="s">
        <v>1984</v>
      </c>
      <c r="H3" s="1" t="s">
        <v>15</v>
      </c>
      <c r="I3" s="3" t="str">
        <f>"1"</f>
        <v>1</v>
      </c>
      <c r="J3" s="3" t="str">
        <f>"2961"</f>
        <v>2961</v>
      </c>
      <c r="K3" s="2">
        <v>45881</v>
      </c>
      <c r="L3" s="2">
        <v>45894</v>
      </c>
      <c r="M3" s="1" t="s">
        <v>4314</v>
      </c>
      <c r="N3" s="1" t="s">
        <v>11048</v>
      </c>
    </row>
    <row r="4" spans="1:14" x14ac:dyDescent="0.35">
      <c r="A4" s="1" t="s">
        <v>11045</v>
      </c>
      <c r="B4" s="3" t="s">
        <v>2720</v>
      </c>
      <c r="C4" s="1" t="s">
        <v>2740</v>
      </c>
      <c r="D4" s="1" t="s">
        <v>11052</v>
      </c>
      <c r="E4" s="1" t="str">
        <f>"7010"</f>
        <v>7010</v>
      </c>
      <c r="F4" s="1" t="str">
        <f>"016501067"</f>
        <v>016501067</v>
      </c>
      <c r="G4" s="1" t="s">
        <v>1984</v>
      </c>
      <c r="H4" s="1" t="s">
        <v>15</v>
      </c>
      <c r="I4" s="3" t="str">
        <f>"1"</f>
        <v>1</v>
      </c>
      <c r="J4" s="3" t="str">
        <f>"2961"</f>
        <v>2961</v>
      </c>
      <c r="K4" s="2">
        <v>45881</v>
      </c>
      <c r="L4" s="2">
        <v>45894</v>
      </c>
      <c r="M4" s="1" t="s">
        <v>4314</v>
      </c>
      <c r="N4" s="1" t="s">
        <v>11048</v>
      </c>
    </row>
    <row r="5" spans="1:14" x14ac:dyDescent="0.35">
      <c r="A5" s="1" t="s">
        <v>11045</v>
      </c>
      <c r="B5" s="3" t="s">
        <v>2720</v>
      </c>
      <c r="C5" s="1" t="s">
        <v>2740</v>
      </c>
      <c r="D5" s="1" t="s">
        <v>11051</v>
      </c>
      <c r="E5" s="1" t="str">
        <f>"7010"</f>
        <v>7010</v>
      </c>
      <c r="F5" s="1" t="str">
        <f>"016501067"</f>
        <v>016501067</v>
      </c>
      <c r="G5" s="1" t="s">
        <v>1984</v>
      </c>
      <c r="H5" s="1" t="s">
        <v>15</v>
      </c>
      <c r="I5" s="3" t="str">
        <f>"1"</f>
        <v>1</v>
      </c>
      <c r="J5" s="3" t="str">
        <f>"2961"</f>
        <v>2961</v>
      </c>
      <c r="K5" s="2">
        <v>45881</v>
      </c>
      <c r="L5" s="2">
        <v>45894</v>
      </c>
      <c r="M5" s="1" t="s">
        <v>4314</v>
      </c>
      <c r="N5" s="1" t="s">
        <v>11048</v>
      </c>
    </row>
    <row r="6" spans="1:14" x14ac:dyDescent="0.35">
      <c r="A6" s="1" t="s">
        <v>11045</v>
      </c>
      <c r="B6" s="3" t="s">
        <v>2720</v>
      </c>
      <c r="C6" s="1" t="s">
        <v>2740</v>
      </c>
      <c r="D6" s="1" t="s">
        <v>11050</v>
      </c>
      <c r="E6" s="1" t="str">
        <f>"7010"</f>
        <v>7010</v>
      </c>
      <c r="F6" s="1" t="str">
        <f>"016501067"</f>
        <v>016501067</v>
      </c>
      <c r="G6" s="1" t="s">
        <v>1984</v>
      </c>
      <c r="H6" s="1" t="s">
        <v>15</v>
      </c>
      <c r="I6" s="3" t="str">
        <f>"1"</f>
        <v>1</v>
      </c>
      <c r="J6" s="3" t="str">
        <f>"2961"</f>
        <v>2961</v>
      </c>
      <c r="K6" s="2">
        <v>45881</v>
      </c>
      <c r="L6" s="2">
        <v>45894</v>
      </c>
      <c r="M6" s="1" t="s">
        <v>4314</v>
      </c>
      <c r="N6" s="1" t="s">
        <v>11048</v>
      </c>
    </row>
    <row r="7" spans="1:14" x14ac:dyDescent="0.35">
      <c r="A7" s="1" t="s">
        <v>11045</v>
      </c>
      <c r="B7" s="3" t="s">
        <v>2720</v>
      </c>
      <c r="C7" s="1" t="s">
        <v>2740</v>
      </c>
      <c r="D7" s="1" t="s">
        <v>11049</v>
      </c>
      <c r="E7" s="1" t="str">
        <f>"7010"</f>
        <v>7010</v>
      </c>
      <c r="F7" s="1" t="str">
        <f>"016501067"</f>
        <v>016501067</v>
      </c>
      <c r="G7" s="1" t="s">
        <v>1984</v>
      </c>
      <c r="H7" s="1" t="s">
        <v>15</v>
      </c>
      <c r="I7" s="3" t="str">
        <f>"1"</f>
        <v>1</v>
      </c>
      <c r="J7" s="3" t="str">
        <f>"2961"</f>
        <v>2961</v>
      </c>
      <c r="K7" s="2">
        <v>45881</v>
      </c>
      <c r="L7" s="2">
        <v>45894</v>
      </c>
      <c r="M7" s="1" t="s">
        <v>4314</v>
      </c>
      <c r="N7" s="1" t="s">
        <v>11048</v>
      </c>
    </row>
    <row r="8" spans="1:14" x14ac:dyDescent="0.35">
      <c r="A8" s="1" t="s">
        <v>11045</v>
      </c>
      <c r="B8" s="3" t="s">
        <v>2720</v>
      </c>
      <c r="C8" s="1" t="s">
        <v>2740</v>
      </c>
      <c r="D8" s="1" t="s">
        <v>11047</v>
      </c>
      <c r="E8" s="1" t="str">
        <f>"7010"</f>
        <v>7010</v>
      </c>
      <c r="F8" s="1" t="str">
        <f>"016501067"</f>
        <v>016501067</v>
      </c>
      <c r="G8" s="1" t="s">
        <v>1984</v>
      </c>
      <c r="H8" s="1" t="s">
        <v>15</v>
      </c>
      <c r="I8" s="3" t="str">
        <f>"1"</f>
        <v>1</v>
      </c>
      <c r="J8" s="3" t="str">
        <f>"2961"</f>
        <v>2961</v>
      </c>
      <c r="K8" s="2">
        <v>45881</v>
      </c>
      <c r="L8" s="2">
        <v>45884</v>
      </c>
      <c r="M8" s="1" t="s">
        <v>4314</v>
      </c>
      <c r="N8" s="1" t="s">
        <v>11046</v>
      </c>
    </row>
    <row r="9" spans="1:14" x14ac:dyDescent="0.35">
      <c r="A9" s="1" t="s">
        <v>11045</v>
      </c>
      <c r="B9" s="3" t="s">
        <v>1445</v>
      </c>
      <c r="C9" s="1" t="s">
        <v>1459</v>
      </c>
      <c r="D9" s="1" t="s">
        <v>11044</v>
      </c>
      <c r="E9" s="1" t="str">
        <f>"6515"</f>
        <v>6515</v>
      </c>
      <c r="F9" s="1" t="str">
        <f>"015217505"</f>
        <v>015217505</v>
      </c>
      <c r="G9" s="1" t="s">
        <v>1530</v>
      </c>
      <c r="H9" s="1" t="s">
        <v>1084</v>
      </c>
      <c r="I9" s="3" t="str">
        <f>"1"</f>
        <v>1</v>
      </c>
      <c r="J9" s="3">
        <v>32.6</v>
      </c>
      <c r="K9" s="2">
        <v>45847</v>
      </c>
      <c r="L9" s="2">
        <v>45881</v>
      </c>
      <c r="M9" s="1" t="s">
        <v>1531</v>
      </c>
      <c r="N9" s="1" t="s">
        <v>11043</v>
      </c>
    </row>
    <row r="10" spans="1:14" x14ac:dyDescent="0.35">
      <c r="A10" s="1" t="s">
        <v>10917</v>
      </c>
      <c r="B10" s="3" t="s">
        <v>2145</v>
      </c>
      <c r="C10" s="1" t="s">
        <v>2153</v>
      </c>
      <c r="D10" s="1" t="s">
        <v>11042</v>
      </c>
      <c r="E10" s="1" t="str">
        <f>"5855"</f>
        <v>5855</v>
      </c>
      <c r="F10" s="1" t="str">
        <f>"014778738"</f>
        <v>014778738</v>
      </c>
      <c r="G10" s="1" t="s">
        <v>1942</v>
      </c>
      <c r="H10" s="1" t="s">
        <v>15</v>
      </c>
      <c r="I10" s="3" t="str">
        <f>"1"</f>
        <v>1</v>
      </c>
      <c r="J10" s="3" t="str">
        <f>"7830"</f>
        <v>7830</v>
      </c>
      <c r="K10" s="2">
        <v>45929</v>
      </c>
      <c r="L10" s="2">
        <v>45929</v>
      </c>
      <c r="M10" s="1" t="s">
        <v>11041</v>
      </c>
      <c r="N10" s="1" t="s">
        <v>4387</v>
      </c>
    </row>
    <row r="11" spans="1:14" x14ac:dyDescent="0.35">
      <c r="A11" s="1" t="s">
        <v>10917</v>
      </c>
      <c r="B11" s="3" t="s">
        <v>2248</v>
      </c>
      <c r="C11" s="1" t="s">
        <v>2326</v>
      </c>
      <c r="D11" s="1" t="s">
        <v>11040</v>
      </c>
      <c r="E11" s="1" t="str">
        <f>"2355"</f>
        <v>2355</v>
      </c>
      <c r="F11" s="1" t="str">
        <f>"015696962"</f>
        <v>015696962</v>
      </c>
      <c r="G11" s="1" t="s">
        <v>7999</v>
      </c>
      <c r="H11" s="1" t="s">
        <v>15</v>
      </c>
      <c r="I11" s="3" t="str">
        <f>"1"</f>
        <v>1</v>
      </c>
      <c r="J11" s="3" t="str">
        <f>"824085"</f>
        <v>824085</v>
      </c>
      <c r="K11" s="2">
        <v>45929</v>
      </c>
      <c r="L11" s="2">
        <v>45929</v>
      </c>
      <c r="M11" s="1" t="s">
        <v>11039</v>
      </c>
    </row>
    <row r="12" spans="1:14" x14ac:dyDescent="0.35">
      <c r="A12" s="1" t="s">
        <v>10917</v>
      </c>
      <c r="B12" s="3" t="s">
        <v>2248</v>
      </c>
      <c r="C12" s="1" t="s">
        <v>2375</v>
      </c>
      <c r="D12" s="1" t="s">
        <v>11038</v>
      </c>
      <c r="E12" s="1" t="str">
        <f>"1550"</f>
        <v>1550</v>
      </c>
      <c r="F12" s="1" t="str">
        <f>"016215533"</f>
        <v>016215533</v>
      </c>
      <c r="G12" s="1" t="s">
        <v>2334</v>
      </c>
      <c r="H12" s="1" t="s">
        <v>15</v>
      </c>
      <c r="I12" s="3" t="str">
        <f>"1"</f>
        <v>1</v>
      </c>
      <c r="J12" s="3" t="str">
        <f>"168000"</f>
        <v>168000</v>
      </c>
      <c r="K12" s="2">
        <v>45928</v>
      </c>
      <c r="L12" s="2">
        <v>45928</v>
      </c>
      <c r="M12" s="1" t="s">
        <v>10906</v>
      </c>
    </row>
    <row r="13" spans="1:14" x14ac:dyDescent="0.35">
      <c r="A13" s="1" t="s">
        <v>10917</v>
      </c>
      <c r="B13" s="3" t="s">
        <v>1437</v>
      </c>
      <c r="C13" s="1" t="s">
        <v>9141</v>
      </c>
      <c r="D13" s="1" t="s">
        <v>11037</v>
      </c>
      <c r="E13" s="1" t="str">
        <f>"5855"</f>
        <v>5855</v>
      </c>
      <c r="F13" s="1" t="str">
        <f>"014853429"</f>
        <v>014853429</v>
      </c>
      <c r="G13" s="1" t="s">
        <v>5611</v>
      </c>
      <c r="H13" s="1" t="s">
        <v>15</v>
      </c>
      <c r="I13" s="3" t="str">
        <f>"1"</f>
        <v>1</v>
      </c>
      <c r="J13" s="3" t="str">
        <f>"18500"</f>
        <v>18500</v>
      </c>
      <c r="K13" s="2">
        <v>45923</v>
      </c>
      <c r="L13" s="2">
        <v>45924</v>
      </c>
      <c r="M13" s="1" t="s">
        <v>11036</v>
      </c>
    </row>
    <row r="14" spans="1:14" x14ac:dyDescent="0.35">
      <c r="A14" s="1" t="s">
        <v>10917</v>
      </c>
      <c r="B14" s="3" t="s">
        <v>2494</v>
      </c>
      <c r="C14" s="1" t="s">
        <v>9469</v>
      </c>
      <c r="D14" s="1" t="s">
        <v>11035</v>
      </c>
      <c r="E14" s="1" t="str">
        <f>"1550"</f>
        <v>1550</v>
      </c>
      <c r="F14" s="1" t="s">
        <v>7292</v>
      </c>
      <c r="G14" s="1" t="s">
        <v>7291</v>
      </c>
      <c r="H14" s="1" t="s">
        <v>15</v>
      </c>
      <c r="I14" s="3" t="str">
        <f>"1"</f>
        <v>1</v>
      </c>
      <c r="J14" s="3" t="str">
        <f>"44996"</f>
        <v>44996</v>
      </c>
      <c r="K14" s="2">
        <v>45923</v>
      </c>
      <c r="L14" s="2">
        <v>45923</v>
      </c>
      <c r="M14" s="1" t="s">
        <v>11033</v>
      </c>
      <c r="N14" s="1" t="s">
        <v>4387</v>
      </c>
    </row>
    <row r="15" spans="1:14" x14ac:dyDescent="0.35">
      <c r="A15" s="1" t="s">
        <v>10917</v>
      </c>
      <c r="B15" s="3" t="s">
        <v>2494</v>
      </c>
      <c r="C15" s="1" t="s">
        <v>9469</v>
      </c>
      <c r="D15" s="1" t="s">
        <v>11034</v>
      </c>
      <c r="E15" s="1" t="str">
        <f>"5855"</f>
        <v>5855</v>
      </c>
      <c r="F15" s="1" t="str">
        <f>"015847217"</f>
        <v>015847217</v>
      </c>
      <c r="G15" s="1" t="s">
        <v>1942</v>
      </c>
      <c r="H15" s="1" t="s">
        <v>15</v>
      </c>
      <c r="I15" s="3" t="str">
        <f>"10"</f>
        <v>10</v>
      </c>
      <c r="J15" s="3" t="str">
        <f>"35674"</f>
        <v>35674</v>
      </c>
      <c r="K15" s="2">
        <v>45923</v>
      </c>
      <c r="L15" s="2">
        <v>45923</v>
      </c>
      <c r="M15" s="1" t="s">
        <v>11033</v>
      </c>
      <c r="N15" s="1" t="s">
        <v>4387</v>
      </c>
    </row>
    <row r="16" spans="1:14" x14ac:dyDescent="0.35">
      <c r="A16" s="1" t="s">
        <v>10917</v>
      </c>
      <c r="B16" s="3" t="s">
        <v>1699</v>
      </c>
      <c r="C16" s="1" t="s">
        <v>8998</v>
      </c>
      <c r="D16" s="1" t="s">
        <v>11032</v>
      </c>
      <c r="E16" s="1" t="str">
        <f>"2330"</f>
        <v>2330</v>
      </c>
      <c r="F16" s="1" t="s">
        <v>70</v>
      </c>
      <c r="G16" s="1" t="s">
        <v>71</v>
      </c>
      <c r="H16" s="1" t="s">
        <v>15</v>
      </c>
      <c r="I16" s="3" t="str">
        <f>"1"</f>
        <v>1</v>
      </c>
      <c r="J16" s="3">
        <v>9199.98</v>
      </c>
      <c r="K16" s="2">
        <v>45922</v>
      </c>
      <c r="L16" s="2">
        <v>45923</v>
      </c>
      <c r="M16" s="1" t="s">
        <v>11031</v>
      </c>
    </row>
    <row r="17" spans="1:14" x14ac:dyDescent="0.35">
      <c r="A17" s="1" t="s">
        <v>10917</v>
      </c>
      <c r="B17" s="3" t="s">
        <v>2987</v>
      </c>
      <c r="C17" s="1" t="s">
        <v>9464</v>
      </c>
      <c r="D17" s="1" t="s">
        <v>11030</v>
      </c>
      <c r="E17" s="1" t="str">
        <f>"1550"</f>
        <v>1550</v>
      </c>
      <c r="F17" s="1" t="s">
        <v>7292</v>
      </c>
      <c r="G17" s="1" t="s">
        <v>7291</v>
      </c>
      <c r="H17" s="1" t="s">
        <v>15</v>
      </c>
      <c r="I17" s="3" t="str">
        <f>"1"</f>
        <v>1</v>
      </c>
      <c r="J17" s="3" t="str">
        <f>"44996"</f>
        <v>44996</v>
      </c>
      <c r="K17" s="2">
        <v>45922</v>
      </c>
      <c r="L17" s="2">
        <v>45922</v>
      </c>
      <c r="M17" s="1" t="s">
        <v>11029</v>
      </c>
    </row>
    <row r="18" spans="1:14" x14ac:dyDescent="0.35">
      <c r="A18" s="1" t="s">
        <v>10917</v>
      </c>
      <c r="B18" s="3" t="s">
        <v>806</v>
      </c>
      <c r="C18" s="1" t="s">
        <v>866</v>
      </c>
      <c r="D18" s="1" t="s">
        <v>11028</v>
      </c>
      <c r="E18" s="1" t="str">
        <f>"6230"</f>
        <v>6230</v>
      </c>
      <c r="F18" s="1" t="str">
        <f>"015894822"</f>
        <v>015894822</v>
      </c>
      <c r="G18" s="1" t="s">
        <v>310</v>
      </c>
      <c r="H18" s="1" t="s">
        <v>15</v>
      </c>
      <c r="I18" s="3" t="str">
        <f>"83"</f>
        <v>83</v>
      </c>
      <c r="J18" s="3">
        <v>889.39</v>
      </c>
      <c r="K18" s="2">
        <v>45922</v>
      </c>
      <c r="L18" s="2">
        <v>45922</v>
      </c>
      <c r="M18" s="1" t="s">
        <v>11027</v>
      </c>
      <c r="N18" s="1" t="s">
        <v>4387</v>
      </c>
    </row>
    <row r="19" spans="1:14" x14ac:dyDescent="0.35">
      <c r="A19" s="1" t="s">
        <v>10917</v>
      </c>
      <c r="B19" s="3" t="s">
        <v>2494</v>
      </c>
      <c r="C19" s="1" t="s">
        <v>2521</v>
      </c>
      <c r="D19" s="1" t="s">
        <v>11026</v>
      </c>
      <c r="E19" s="1" t="str">
        <f>"3930"</f>
        <v>3930</v>
      </c>
      <c r="F19" s="1" t="s">
        <v>150</v>
      </c>
      <c r="G19" s="1" t="s">
        <v>151</v>
      </c>
      <c r="H19" s="1" t="s">
        <v>15</v>
      </c>
      <c r="I19" s="3" t="str">
        <f>"1"</f>
        <v>1</v>
      </c>
      <c r="J19" s="3" t="str">
        <f>"29387"</f>
        <v>29387</v>
      </c>
      <c r="K19" s="2">
        <v>45922</v>
      </c>
      <c r="L19" s="2">
        <v>45922</v>
      </c>
      <c r="M19" s="1" t="s">
        <v>10470</v>
      </c>
    </row>
    <row r="20" spans="1:14" x14ac:dyDescent="0.35">
      <c r="A20" s="1" t="s">
        <v>10917</v>
      </c>
      <c r="B20" s="3" t="s">
        <v>3513</v>
      </c>
      <c r="C20" s="1" t="s">
        <v>3514</v>
      </c>
      <c r="D20" s="1" t="s">
        <v>11025</v>
      </c>
      <c r="E20" s="1" t="str">
        <f>"2330"</f>
        <v>2330</v>
      </c>
      <c r="F20" s="1" t="s">
        <v>70</v>
      </c>
      <c r="G20" s="1" t="s">
        <v>71</v>
      </c>
      <c r="H20" s="1" t="s">
        <v>15</v>
      </c>
      <c r="I20" s="3" t="str">
        <f>"1"</f>
        <v>1</v>
      </c>
      <c r="J20" s="3" t="str">
        <f>"7500"</f>
        <v>7500</v>
      </c>
      <c r="K20" s="2">
        <v>45921</v>
      </c>
      <c r="L20" s="2">
        <v>45922</v>
      </c>
      <c r="M20" s="1" t="s">
        <v>11024</v>
      </c>
    </row>
    <row r="21" spans="1:14" x14ac:dyDescent="0.35">
      <c r="A21" s="1" t="s">
        <v>10917</v>
      </c>
      <c r="B21" s="3" t="s">
        <v>2456</v>
      </c>
      <c r="C21" s="1" t="s">
        <v>9820</v>
      </c>
      <c r="D21" s="1" t="s">
        <v>11023</v>
      </c>
      <c r="E21" s="1" t="str">
        <f>"2320"</f>
        <v>2320</v>
      </c>
      <c r="F21" s="1" t="str">
        <f>"013469317"</f>
        <v>013469317</v>
      </c>
      <c r="G21" s="1" t="s">
        <v>604</v>
      </c>
      <c r="H21" s="1" t="s">
        <v>15</v>
      </c>
      <c r="I21" s="3" t="str">
        <f>"1"</f>
        <v>1</v>
      </c>
      <c r="J21" s="3" t="str">
        <f>"94171"</f>
        <v>94171</v>
      </c>
      <c r="K21" s="2">
        <v>45920</v>
      </c>
      <c r="L21" s="2">
        <v>45922</v>
      </c>
      <c r="M21" s="1" t="s">
        <v>11022</v>
      </c>
    </row>
    <row r="22" spans="1:14" x14ac:dyDescent="0.35">
      <c r="A22" s="1" t="s">
        <v>10917</v>
      </c>
      <c r="B22" s="3" t="s">
        <v>2456</v>
      </c>
      <c r="C22" s="1" t="s">
        <v>9820</v>
      </c>
      <c r="D22" s="1" t="s">
        <v>11021</v>
      </c>
      <c r="E22" s="1" t="str">
        <f>"2320"</f>
        <v>2320</v>
      </c>
      <c r="F22" s="1" t="str">
        <f>"013808604"</f>
        <v>013808604</v>
      </c>
      <c r="G22" s="1" t="s">
        <v>604</v>
      </c>
      <c r="H22" s="1" t="s">
        <v>15</v>
      </c>
      <c r="I22" s="3" t="str">
        <f>"1"</f>
        <v>1</v>
      </c>
      <c r="J22" s="3" t="str">
        <f>"89900"</f>
        <v>89900</v>
      </c>
      <c r="K22" s="2">
        <v>45920</v>
      </c>
      <c r="L22" s="2">
        <v>45922</v>
      </c>
      <c r="M22" s="1" t="s">
        <v>11020</v>
      </c>
    </row>
    <row r="23" spans="1:14" x14ac:dyDescent="0.35">
      <c r="A23" s="1" t="s">
        <v>10917</v>
      </c>
      <c r="B23" s="3" t="s">
        <v>3513</v>
      </c>
      <c r="C23" s="1" t="s">
        <v>3514</v>
      </c>
      <c r="D23" s="1" t="s">
        <v>11019</v>
      </c>
      <c r="E23" s="1" t="str">
        <f>"2330"</f>
        <v>2330</v>
      </c>
      <c r="F23" s="1" t="s">
        <v>70</v>
      </c>
      <c r="G23" s="1" t="s">
        <v>71</v>
      </c>
      <c r="H23" s="1" t="s">
        <v>15</v>
      </c>
      <c r="I23" s="3" t="str">
        <f>"1"</f>
        <v>1</v>
      </c>
      <c r="J23" s="3" t="str">
        <f>"8650"</f>
        <v>8650</v>
      </c>
      <c r="K23" s="2">
        <v>45920</v>
      </c>
      <c r="L23" s="2">
        <v>45921</v>
      </c>
      <c r="M23" s="1" t="s">
        <v>11018</v>
      </c>
      <c r="N23" s="1" t="s">
        <v>4387</v>
      </c>
    </row>
    <row r="24" spans="1:14" x14ac:dyDescent="0.35">
      <c r="A24" s="1" t="s">
        <v>10917</v>
      </c>
      <c r="B24" s="3" t="s">
        <v>3183</v>
      </c>
      <c r="C24" s="1" t="s">
        <v>3184</v>
      </c>
      <c r="D24" s="1" t="s">
        <v>11017</v>
      </c>
      <c r="E24" s="1" t="str">
        <f>"2320"</f>
        <v>2320</v>
      </c>
      <c r="F24" s="1" t="str">
        <f>"014436878"</f>
        <v>014436878</v>
      </c>
      <c r="G24" s="1" t="s">
        <v>1799</v>
      </c>
      <c r="H24" s="1" t="s">
        <v>15</v>
      </c>
      <c r="I24" s="3" t="str">
        <f>"1"</f>
        <v>1</v>
      </c>
      <c r="J24" s="3" t="str">
        <f>"24447"</f>
        <v>24447</v>
      </c>
      <c r="K24" s="2">
        <v>45920</v>
      </c>
      <c r="L24" s="2">
        <v>45921</v>
      </c>
      <c r="M24" s="1" t="s">
        <v>11016</v>
      </c>
    </row>
    <row r="25" spans="1:14" x14ac:dyDescent="0.35">
      <c r="A25" s="1" t="s">
        <v>10917</v>
      </c>
      <c r="B25" s="3" t="s">
        <v>3183</v>
      </c>
      <c r="C25" s="1" t="s">
        <v>3184</v>
      </c>
      <c r="D25" s="1" t="s">
        <v>11015</v>
      </c>
      <c r="E25" s="1" t="str">
        <f>"2320"</f>
        <v>2320</v>
      </c>
      <c r="F25" s="1" t="str">
        <f>"012157631"</f>
        <v>012157631</v>
      </c>
      <c r="G25" s="1" t="s">
        <v>117</v>
      </c>
      <c r="H25" s="1" t="s">
        <v>15</v>
      </c>
      <c r="I25" s="3" t="str">
        <f>"1"</f>
        <v>1</v>
      </c>
      <c r="J25" s="3" t="str">
        <f>"33082"</f>
        <v>33082</v>
      </c>
      <c r="K25" s="2">
        <v>45920</v>
      </c>
      <c r="L25" s="2">
        <v>45921</v>
      </c>
      <c r="M25" s="1" t="s">
        <v>11014</v>
      </c>
    </row>
    <row r="26" spans="1:14" x14ac:dyDescent="0.35">
      <c r="A26" s="1" t="s">
        <v>10917</v>
      </c>
      <c r="B26" s="3" t="s">
        <v>2494</v>
      </c>
      <c r="C26" s="1" t="s">
        <v>2521</v>
      </c>
      <c r="D26" s="1" t="s">
        <v>11013</v>
      </c>
      <c r="E26" s="1" t="str">
        <f>"5855"</f>
        <v>5855</v>
      </c>
      <c r="F26" s="1" t="str">
        <f>"015936375"</f>
        <v>015936375</v>
      </c>
      <c r="G26" s="1" t="s">
        <v>1904</v>
      </c>
      <c r="H26" s="1" t="s">
        <v>15</v>
      </c>
      <c r="I26" s="3" t="str">
        <f>"7"</f>
        <v>7</v>
      </c>
      <c r="J26" s="3">
        <v>702.1</v>
      </c>
      <c r="K26" s="2">
        <v>45919</v>
      </c>
      <c r="L26" s="2">
        <v>45919</v>
      </c>
      <c r="M26" s="1" t="s">
        <v>2539</v>
      </c>
    </row>
    <row r="27" spans="1:14" x14ac:dyDescent="0.35">
      <c r="A27" s="1" t="s">
        <v>10917</v>
      </c>
      <c r="B27" s="3" t="s">
        <v>601</v>
      </c>
      <c r="C27" s="1" t="s">
        <v>683</v>
      </c>
      <c r="D27" s="1" t="s">
        <v>11012</v>
      </c>
      <c r="E27" s="1" t="str">
        <f>"7010"</f>
        <v>7010</v>
      </c>
      <c r="F27" s="1" t="str">
        <f>"016491174"</f>
        <v>016491174</v>
      </c>
      <c r="G27" s="1" t="s">
        <v>1984</v>
      </c>
      <c r="H27" s="1" t="s">
        <v>15</v>
      </c>
      <c r="I27" s="3" t="str">
        <f>"3"</f>
        <v>3</v>
      </c>
      <c r="J27" s="3">
        <v>9714.34</v>
      </c>
      <c r="K27" s="2">
        <v>45918</v>
      </c>
      <c r="L27" s="2">
        <v>45918</v>
      </c>
      <c r="M27" s="1" t="s">
        <v>11011</v>
      </c>
    </row>
    <row r="28" spans="1:14" x14ac:dyDescent="0.35">
      <c r="A28" s="1" t="s">
        <v>10917</v>
      </c>
      <c r="B28" s="3" t="s">
        <v>2000</v>
      </c>
      <c r="C28" s="1" t="s">
        <v>11010</v>
      </c>
      <c r="D28" s="1" t="s">
        <v>11009</v>
      </c>
      <c r="E28" s="1" t="str">
        <f>"6545"</f>
        <v>6545</v>
      </c>
      <c r="F28" s="1" t="str">
        <f>"015748111"</f>
        <v>015748111</v>
      </c>
      <c r="G28" s="1" t="s">
        <v>4373</v>
      </c>
      <c r="H28" s="1" t="s">
        <v>15</v>
      </c>
      <c r="I28" s="3" t="str">
        <f>"1"</f>
        <v>1</v>
      </c>
      <c r="J28" s="3">
        <v>168.99</v>
      </c>
      <c r="K28" s="2">
        <v>45917</v>
      </c>
      <c r="L28" s="2">
        <v>45917</v>
      </c>
      <c r="M28" s="1" t="s">
        <v>11008</v>
      </c>
    </row>
    <row r="29" spans="1:14" x14ac:dyDescent="0.35">
      <c r="A29" s="1" t="s">
        <v>10917</v>
      </c>
      <c r="B29" s="3" t="s">
        <v>93</v>
      </c>
      <c r="C29" s="1" t="s">
        <v>267</v>
      </c>
      <c r="D29" s="1" t="s">
        <v>11007</v>
      </c>
      <c r="E29" s="1" t="str">
        <f>"1940"</f>
        <v>1940</v>
      </c>
      <c r="F29" s="1" t="s">
        <v>567</v>
      </c>
      <c r="G29" s="1" t="s">
        <v>568</v>
      </c>
      <c r="H29" s="1" t="s">
        <v>15</v>
      </c>
      <c r="I29" s="3" t="str">
        <f>"1"</f>
        <v>1</v>
      </c>
      <c r="J29" s="3" t="str">
        <f>"6051"</f>
        <v>6051</v>
      </c>
      <c r="K29" s="2">
        <v>45913</v>
      </c>
      <c r="L29" s="2">
        <v>45915</v>
      </c>
      <c r="M29" s="1" t="s">
        <v>11006</v>
      </c>
    </row>
    <row r="30" spans="1:14" x14ac:dyDescent="0.35">
      <c r="A30" s="1" t="s">
        <v>10917</v>
      </c>
      <c r="B30" s="3" t="s">
        <v>2494</v>
      </c>
      <c r="C30" s="1" t="s">
        <v>2521</v>
      </c>
      <c r="D30" s="1" t="s">
        <v>11005</v>
      </c>
      <c r="E30" s="1" t="str">
        <f>"5855"</f>
        <v>5855</v>
      </c>
      <c r="F30" s="1" t="str">
        <f>"015936375"</f>
        <v>015936375</v>
      </c>
      <c r="G30" s="1" t="s">
        <v>1904</v>
      </c>
      <c r="H30" s="1" t="s">
        <v>15</v>
      </c>
      <c r="I30" s="3" t="str">
        <f>"30"</f>
        <v>30</v>
      </c>
      <c r="J30" s="3">
        <v>702.1</v>
      </c>
      <c r="K30" s="2">
        <v>45913</v>
      </c>
      <c r="L30" s="2">
        <v>45913</v>
      </c>
      <c r="M30" s="1" t="s">
        <v>2541</v>
      </c>
    </row>
    <row r="31" spans="1:14" x14ac:dyDescent="0.35">
      <c r="A31" s="1" t="s">
        <v>10917</v>
      </c>
      <c r="B31" s="3" t="s">
        <v>4087</v>
      </c>
      <c r="C31" s="1" t="s">
        <v>4143</v>
      </c>
      <c r="D31" s="1" t="s">
        <v>11004</v>
      </c>
      <c r="E31" s="1" t="str">
        <f>"7025"</f>
        <v>7025</v>
      </c>
      <c r="F31" s="1" t="s">
        <v>10621</v>
      </c>
      <c r="G31" s="1" t="s">
        <v>10620</v>
      </c>
      <c r="H31" s="1" t="s">
        <v>15</v>
      </c>
      <c r="I31" s="3" t="str">
        <f>"4"</f>
        <v>4</v>
      </c>
      <c r="J31" s="3" t="str">
        <f>"200"</f>
        <v>200</v>
      </c>
      <c r="K31" s="2">
        <v>45909</v>
      </c>
      <c r="L31" s="2">
        <v>45909</v>
      </c>
      <c r="M31" s="1" t="s">
        <v>4169</v>
      </c>
    </row>
    <row r="32" spans="1:14" x14ac:dyDescent="0.35">
      <c r="A32" s="1" t="s">
        <v>10917</v>
      </c>
      <c r="B32" s="3" t="s">
        <v>3183</v>
      </c>
      <c r="C32" s="1" t="s">
        <v>3256</v>
      </c>
      <c r="D32" s="1" t="s">
        <v>11003</v>
      </c>
      <c r="E32" s="1" t="str">
        <f>"3750"</f>
        <v>3750</v>
      </c>
      <c r="F32" s="1" t="s">
        <v>392</v>
      </c>
      <c r="G32" s="1" t="s">
        <v>393</v>
      </c>
      <c r="H32" s="1" t="s">
        <v>15</v>
      </c>
      <c r="I32" s="3" t="str">
        <f>"1"</f>
        <v>1</v>
      </c>
      <c r="J32" s="3" t="str">
        <f>"6500"</f>
        <v>6500</v>
      </c>
      <c r="K32" s="2">
        <v>45908</v>
      </c>
      <c r="L32" s="2">
        <v>45908</v>
      </c>
      <c r="M32" s="1" t="s">
        <v>11002</v>
      </c>
      <c r="N32" s="1" t="s">
        <v>4387</v>
      </c>
    </row>
    <row r="33" spans="1:14" x14ac:dyDescent="0.35">
      <c r="A33" s="1" t="s">
        <v>10917</v>
      </c>
      <c r="B33" s="3" t="s">
        <v>3183</v>
      </c>
      <c r="C33" s="1" t="s">
        <v>3184</v>
      </c>
      <c r="D33" s="1" t="s">
        <v>11001</v>
      </c>
      <c r="E33" s="1" t="str">
        <f>"2310"</f>
        <v>2310</v>
      </c>
      <c r="F33" s="1" t="str">
        <f>"016231545"</f>
        <v>016231545</v>
      </c>
      <c r="G33" s="1" t="s">
        <v>3156</v>
      </c>
      <c r="H33" s="1" t="s">
        <v>15</v>
      </c>
      <c r="I33" s="3" t="str">
        <f>"1"</f>
        <v>1</v>
      </c>
      <c r="J33" s="3" t="str">
        <f>"32000"</f>
        <v>32000</v>
      </c>
      <c r="K33" s="2">
        <v>45906</v>
      </c>
      <c r="L33" s="2">
        <v>45908</v>
      </c>
      <c r="M33" s="1" t="s">
        <v>11000</v>
      </c>
      <c r="N33" s="1" t="s">
        <v>4387</v>
      </c>
    </row>
    <row r="34" spans="1:14" x14ac:dyDescent="0.35">
      <c r="A34" s="1" t="s">
        <v>10917</v>
      </c>
      <c r="B34" s="3" t="s">
        <v>2494</v>
      </c>
      <c r="C34" s="1" t="s">
        <v>2521</v>
      </c>
      <c r="D34" s="1" t="s">
        <v>10999</v>
      </c>
      <c r="E34" s="1" t="str">
        <f>"8465"</f>
        <v>8465</v>
      </c>
      <c r="F34" s="1" t="str">
        <f>"014456274"</f>
        <v>014456274</v>
      </c>
      <c r="G34" s="1" t="s">
        <v>1434</v>
      </c>
      <c r="H34" s="1" t="s">
        <v>15</v>
      </c>
      <c r="I34" s="3" t="str">
        <f>"25"</f>
        <v>25</v>
      </c>
      <c r="J34" s="3">
        <v>265.76</v>
      </c>
      <c r="K34" s="2">
        <v>45904</v>
      </c>
      <c r="L34" s="2">
        <v>45904</v>
      </c>
      <c r="M34" s="1" t="s">
        <v>10998</v>
      </c>
    </row>
    <row r="35" spans="1:14" x14ac:dyDescent="0.35">
      <c r="A35" s="1" t="s">
        <v>10917</v>
      </c>
      <c r="B35" s="3" t="s">
        <v>93</v>
      </c>
      <c r="C35" s="1" t="s">
        <v>267</v>
      </c>
      <c r="D35" s="1" t="s">
        <v>10997</v>
      </c>
      <c r="E35" s="1" t="str">
        <f>"1940"</f>
        <v>1940</v>
      </c>
      <c r="F35" s="1" t="s">
        <v>567</v>
      </c>
      <c r="G35" s="1" t="s">
        <v>568</v>
      </c>
      <c r="H35" s="1" t="s">
        <v>15</v>
      </c>
      <c r="I35" s="3" t="str">
        <f>"1"</f>
        <v>1</v>
      </c>
      <c r="J35" s="3" t="str">
        <f>"44916"</f>
        <v>44916</v>
      </c>
      <c r="K35" s="2">
        <v>45904</v>
      </c>
      <c r="L35" s="2">
        <v>45904</v>
      </c>
      <c r="M35" s="1" t="s">
        <v>10996</v>
      </c>
    </row>
    <row r="36" spans="1:14" x14ac:dyDescent="0.35">
      <c r="A36" s="1" t="s">
        <v>10917</v>
      </c>
      <c r="B36" s="3" t="s">
        <v>93</v>
      </c>
      <c r="C36" s="1" t="s">
        <v>267</v>
      </c>
      <c r="D36" s="1" t="s">
        <v>10995</v>
      </c>
      <c r="E36" s="1" t="str">
        <f>"1005"</f>
        <v>1005</v>
      </c>
      <c r="F36" s="1" t="str">
        <f>"009215004"</f>
        <v>009215004</v>
      </c>
      <c r="G36" s="1" t="s">
        <v>4601</v>
      </c>
      <c r="H36" s="1" t="s">
        <v>15</v>
      </c>
      <c r="I36" s="3" t="str">
        <f>"30"</f>
        <v>30</v>
      </c>
      <c r="J36" s="3">
        <v>16.170000000000002</v>
      </c>
      <c r="K36" s="2">
        <v>45898</v>
      </c>
      <c r="L36" s="2">
        <v>45898</v>
      </c>
      <c r="M36" s="1" t="s">
        <v>10994</v>
      </c>
    </row>
    <row r="37" spans="1:14" x14ac:dyDescent="0.35">
      <c r="A37" s="1" t="s">
        <v>10917</v>
      </c>
      <c r="B37" s="3" t="s">
        <v>2000</v>
      </c>
      <c r="C37" s="1" t="s">
        <v>2062</v>
      </c>
      <c r="D37" s="1" t="s">
        <v>10993</v>
      </c>
      <c r="E37" s="1" t="str">
        <f>"5855"</f>
        <v>5855</v>
      </c>
      <c r="F37" s="1" t="str">
        <f>"014778738"</f>
        <v>014778738</v>
      </c>
      <c r="G37" s="1" t="s">
        <v>1942</v>
      </c>
      <c r="H37" s="1" t="s">
        <v>15</v>
      </c>
      <c r="I37" s="3" t="str">
        <f>"1"</f>
        <v>1</v>
      </c>
      <c r="J37" s="3" t="str">
        <f>"7830"</f>
        <v>7830</v>
      </c>
      <c r="K37" s="2">
        <v>45898</v>
      </c>
      <c r="L37" s="2">
        <v>45898</v>
      </c>
      <c r="M37" s="1" t="s">
        <v>10992</v>
      </c>
    </row>
    <row r="38" spans="1:14" x14ac:dyDescent="0.35">
      <c r="A38" s="1" t="s">
        <v>10917</v>
      </c>
      <c r="B38" s="3" t="s">
        <v>4253</v>
      </c>
      <c r="C38" s="1" t="s">
        <v>4271</v>
      </c>
      <c r="D38" s="1" t="s">
        <v>10991</v>
      </c>
      <c r="E38" s="1" t="str">
        <f>"5855"</f>
        <v>5855</v>
      </c>
      <c r="F38" s="1" t="s">
        <v>2918</v>
      </c>
      <c r="G38" s="1" t="s">
        <v>2919</v>
      </c>
      <c r="H38" s="1" t="s">
        <v>15</v>
      </c>
      <c r="I38" s="3" t="str">
        <f>"10"</f>
        <v>10</v>
      </c>
      <c r="J38" s="3" t="str">
        <f>"100"</f>
        <v>100</v>
      </c>
      <c r="K38" s="2">
        <v>45897</v>
      </c>
      <c r="L38" s="2">
        <v>45897</v>
      </c>
      <c r="M38" s="1" t="s">
        <v>10990</v>
      </c>
    </row>
    <row r="39" spans="1:14" x14ac:dyDescent="0.35">
      <c r="A39" s="1" t="s">
        <v>10917</v>
      </c>
      <c r="B39" s="3" t="s">
        <v>93</v>
      </c>
      <c r="C39" s="1" t="s">
        <v>437</v>
      </c>
      <c r="D39" s="1" t="s">
        <v>10989</v>
      </c>
      <c r="E39" s="1" t="str">
        <f>"1095"</f>
        <v>1095</v>
      </c>
      <c r="F39" s="1" t="str">
        <f>"015432189"</f>
        <v>015432189</v>
      </c>
      <c r="G39" s="1" t="s">
        <v>106</v>
      </c>
      <c r="H39" s="1" t="s">
        <v>15</v>
      </c>
      <c r="I39" s="3" t="str">
        <f>"1"</f>
        <v>1</v>
      </c>
      <c r="J39" s="3" t="str">
        <f>"959"</f>
        <v>959</v>
      </c>
      <c r="K39" s="2">
        <v>45895</v>
      </c>
      <c r="L39" s="2">
        <v>45897</v>
      </c>
      <c r="M39" s="1" t="s">
        <v>10988</v>
      </c>
      <c r="N39" s="1" t="s">
        <v>4387</v>
      </c>
    </row>
    <row r="40" spans="1:14" x14ac:dyDescent="0.35">
      <c r="A40" s="1" t="s">
        <v>10917</v>
      </c>
      <c r="B40" s="3" t="s">
        <v>2494</v>
      </c>
      <c r="C40" s="1" t="s">
        <v>10987</v>
      </c>
      <c r="D40" s="1" t="s">
        <v>10986</v>
      </c>
      <c r="E40" s="1" t="str">
        <f>"2320"</f>
        <v>2320</v>
      </c>
      <c r="F40" s="1" t="str">
        <f>"014120143"</f>
        <v>014120143</v>
      </c>
      <c r="G40" s="1" t="s">
        <v>604</v>
      </c>
      <c r="H40" s="1" t="s">
        <v>15</v>
      </c>
      <c r="I40" s="3" t="str">
        <f>"1"</f>
        <v>1</v>
      </c>
      <c r="J40" s="3" t="str">
        <f>"89627"</f>
        <v>89627</v>
      </c>
      <c r="K40" s="2">
        <v>45895</v>
      </c>
      <c r="L40" s="2">
        <v>45895</v>
      </c>
      <c r="M40" s="1" t="s">
        <v>10985</v>
      </c>
    </row>
    <row r="41" spans="1:14" x14ac:dyDescent="0.35">
      <c r="A41" s="1" t="s">
        <v>10917</v>
      </c>
      <c r="B41" s="3" t="s">
        <v>1848</v>
      </c>
      <c r="C41" s="1" t="s">
        <v>1849</v>
      </c>
      <c r="D41" s="1" t="s">
        <v>10984</v>
      </c>
      <c r="E41" s="1" t="str">
        <f>"5120"</f>
        <v>5120</v>
      </c>
      <c r="F41" s="1" t="str">
        <f>"004839400"</f>
        <v>004839400</v>
      </c>
      <c r="G41" s="1" t="s">
        <v>10983</v>
      </c>
      <c r="H41" s="1" t="s">
        <v>15</v>
      </c>
      <c r="I41" s="3" t="str">
        <f>"1"</f>
        <v>1</v>
      </c>
      <c r="J41" s="3">
        <v>2450.2399999999998</v>
      </c>
      <c r="K41" s="2">
        <v>45894</v>
      </c>
      <c r="L41" s="2">
        <v>45895</v>
      </c>
      <c r="M41" s="1" t="s">
        <v>10982</v>
      </c>
    </row>
    <row r="42" spans="1:14" x14ac:dyDescent="0.35">
      <c r="A42" s="1" t="s">
        <v>10917</v>
      </c>
      <c r="B42" s="3" t="s">
        <v>2638</v>
      </c>
      <c r="C42" s="1" t="s">
        <v>2645</v>
      </c>
      <c r="D42" s="1" t="s">
        <v>10981</v>
      </c>
      <c r="E42" s="1" t="str">
        <f>"5855"</f>
        <v>5855</v>
      </c>
      <c r="F42" s="1" t="str">
        <f>"014199429"</f>
        <v>014199429</v>
      </c>
      <c r="G42" s="1" t="s">
        <v>1942</v>
      </c>
      <c r="H42" s="1" t="s">
        <v>15</v>
      </c>
      <c r="I42" s="3" t="str">
        <f>"15"</f>
        <v>15</v>
      </c>
      <c r="J42" s="3" t="str">
        <f>"13610"</f>
        <v>13610</v>
      </c>
      <c r="K42" s="2">
        <v>45894</v>
      </c>
      <c r="L42" s="2">
        <v>45894</v>
      </c>
      <c r="M42" s="1" t="s">
        <v>8134</v>
      </c>
      <c r="N42" s="1" t="s">
        <v>4387</v>
      </c>
    </row>
    <row r="43" spans="1:14" x14ac:dyDescent="0.35">
      <c r="A43" s="1" t="s">
        <v>10917</v>
      </c>
      <c r="B43" s="3" t="s">
        <v>2248</v>
      </c>
      <c r="C43" s="1" t="s">
        <v>2414</v>
      </c>
      <c r="D43" s="1" t="s">
        <v>10980</v>
      </c>
      <c r="E43" s="1" t="str">
        <f>"1240"</f>
        <v>1240</v>
      </c>
      <c r="F43" s="1" t="s">
        <v>1461</v>
      </c>
      <c r="G43" s="1" t="s">
        <v>1462</v>
      </c>
      <c r="H43" s="1" t="s">
        <v>15</v>
      </c>
      <c r="I43" s="3" t="str">
        <f>"1"</f>
        <v>1</v>
      </c>
      <c r="J43" s="3" t="str">
        <f>"1300"</f>
        <v>1300</v>
      </c>
      <c r="K43" s="2">
        <v>45889</v>
      </c>
      <c r="L43" s="2">
        <v>45889</v>
      </c>
      <c r="M43" s="1" t="s">
        <v>10979</v>
      </c>
    </row>
    <row r="44" spans="1:14" x14ac:dyDescent="0.35">
      <c r="A44" s="1" t="s">
        <v>10917</v>
      </c>
      <c r="B44" s="3" t="s">
        <v>806</v>
      </c>
      <c r="C44" s="1" t="s">
        <v>866</v>
      </c>
      <c r="D44" s="1" t="s">
        <v>10978</v>
      </c>
      <c r="E44" s="1" t="str">
        <f>"5965"</f>
        <v>5965</v>
      </c>
      <c r="F44" s="1" t="str">
        <f>"226296584"</f>
        <v>226296584</v>
      </c>
      <c r="G44" s="1" t="s">
        <v>1389</v>
      </c>
      <c r="H44" s="1" t="s">
        <v>15</v>
      </c>
      <c r="I44" s="3" t="str">
        <f>"7"</f>
        <v>7</v>
      </c>
      <c r="J44" s="3">
        <v>1567.84</v>
      </c>
      <c r="K44" s="2">
        <v>45887</v>
      </c>
      <c r="L44" s="2">
        <v>45888</v>
      </c>
      <c r="M44" s="1" t="s">
        <v>7519</v>
      </c>
    </row>
    <row r="45" spans="1:14" x14ac:dyDescent="0.35">
      <c r="A45" s="1" t="s">
        <v>10917</v>
      </c>
      <c r="B45" s="3" t="s">
        <v>806</v>
      </c>
      <c r="C45" s="1" t="s">
        <v>866</v>
      </c>
      <c r="D45" s="1" t="s">
        <v>10977</v>
      </c>
      <c r="E45" s="1" t="str">
        <f>"5965"</f>
        <v>5965</v>
      </c>
      <c r="F45" s="1" t="str">
        <f>"226297499"</f>
        <v>226297499</v>
      </c>
      <c r="G45" s="1" t="s">
        <v>22</v>
      </c>
      <c r="H45" s="1" t="s">
        <v>15</v>
      </c>
      <c r="I45" s="3" t="str">
        <f>"5"</f>
        <v>5</v>
      </c>
      <c r="J45" s="3">
        <v>2219.81</v>
      </c>
      <c r="K45" s="2">
        <v>45887</v>
      </c>
      <c r="L45" s="2">
        <v>45888</v>
      </c>
      <c r="M45" s="1" t="s">
        <v>7519</v>
      </c>
    </row>
    <row r="46" spans="1:14" x14ac:dyDescent="0.35">
      <c r="A46" s="1" t="s">
        <v>10917</v>
      </c>
      <c r="B46" s="3" t="s">
        <v>2494</v>
      </c>
      <c r="C46" s="1" t="s">
        <v>2584</v>
      </c>
      <c r="D46" s="1" t="s">
        <v>10976</v>
      </c>
      <c r="E46" s="1" t="str">
        <f>"2320"</f>
        <v>2320</v>
      </c>
      <c r="F46" s="1" t="s">
        <v>3361</v>
      </c>
      <c r="G46" s="1" t="s">
        <v>3362</v>
      </c>
      <c r="H46" s="1" t="s">
        <v>15</v>
      </c>
      <c r="I46" s="3" t="str">
        <f>"1"</f>
        <v>1</v>
      </c>
      <c r="J46" s="3" t="str">
        <f>"957600"</f>
        <v>957600</v>
      </c>
      <c r="K46" s="2">
        <v>45887</v>
      </c>
      <c r="L46" s="2">
        <v>45888</v>
      </c>
      <c r="M46" s="1" t="s">
        <v>6080</v>
      </c>
    </row>
    <row r="47" spans="1:14" x14ac:dyDescent="0.35">
      <c r="A47" s="1" t="s">
        <v>10917</v>
      </c>
      <c r="B47" s="3" t="s">
        <v>2494</v>
      </c>
      <c r="C47" s="1" t="s">
        <v>2600</v>
      </c>
      <c r="D47" s="1" t="s">
        <v>10975</v>
      </c>
      <c r="E47" s="1" t="str">
        <f>"2330"</f>
        <v>2330</v>
      </c>
      <c r="F47" s="1" t="s">
        <v>70</v>
      </c>
      <c r="G47" s="1" t="s">
        <v>71</v>
      </c>
      <c r="H47" s="1" t="s">
        <v>15</v>
      </c>
      <c r="I47" s="3" t="str">
        <f>"1"</f>
        <v>1</v>
      </c>
      <c r="J47" s="3" t="str">
        <f>"40000"</f>
        <v>40000</v>
      </c>
      <c r="K47" s="2">
        <v>45885</v>
      </c>
      <c r="L47" s="2">
        <v>45885</v>
      </c>
      <c r="M47" s="1" t="s">
        <v>10974</v>
      </c>
    </row>
    <row r="48" spans="1:14" x14ac:dyDescent="0.35">
      <c r="A48" s="1" t="s">
        <v>10917</v>
      </c>
      <c r="B48" s="3" t="s">
        <v>2456</v>
      </c>
      <c r="C48" s="1" t="s">
        <v>2457</v>
      </c>
      <c r="D48" s="1" t="s">
        <v>10973</v>
      </c>
      <c r="E48" s="1" t="str">
        <f>"5855"</f>
        <v>5855</v>
      </c>
      <c r="F48" s="1" t="str">
        <f>"016006437"</f>
        <v>016006437</v>
      </c>
      <c r="G48" s="1" t="s">
        <v>5611</v>
      </c>
      <c r="H48" s="1" t="s">
        <v>15</v>
      </c>
      <c r="I48" s="3" t="str">
        <f>"3"</f>
        <v>3</v>
      </c>
      <c r="J48" s="3" t="str">
        <f>"15735"</f>
        <v>15735</v>
      </c>
      <c r="K48" s="2">
        <v>45883</v>
      </c>
      <c r="L48" s="2">
        <v>45883</v>
      </c>
      <c r="M48" s="1" t="s">
        <v>10972</v>
      </c>
      <c r="N48" s="1" t="s">
        <v>4387</v>
      </c>
    </row>
    <row r="49" spans="1:14" x14ac:dyDescent="0.35">
      <c r="A49" s="1" t="s">
        <v>10917</v>
      </c>
      <c r="B49" s="3" t="s">
        <v>2720</v>
      </c>
      <c r="C49" s="1" t="s">
        <v>2765</v>
      </c>
      <c r="D49" s="1" t="s">
        <v>10971</v>
      </c>
      <c r="E49" s="1" t="str">
        <f>"5140"</f>
        <v>5140</v>
      </c>
      <c r="F49" s="1" t="s">
        <v>161</v>
      </c>
      <c r="G49" s="1" t="s">
        <v>162</v>
      </c>
      <c r="H49" s="1" t="s">
        <v>15</v>
      </c>
      <c r="I49" s="3" t="str">
        <f>"1"</f>
        <v>1</v>
      </c>
      <c r="J49" s="3">
        <v>4016.97</v>
      </c>
      <c r="K49" s="2">
        <v>45880</v>
      </c>
      <c r="L49" s="2">
        <v>45880</v>
      </c>
      <c r="M49" s="1" t="s">
        <v>10970</v>
      </c>
      <c r="N49" s="1" t="s">
        <v>4387</v>
      </c>
    </row>
    <row r="50" spans="1:14" x14ac:dyDescent="0.35">
      <c r="A50" s="1" t="s">
        <v>10917</v>
      </c>
      <c r="B50" s="3" t="s">
        <v>2494</v>
      </c>
      <c r="C50" s="1" t="s">
        <v>2600</v>
      </c>
      <c r="D50" s="1" t="s">
        <v>10969</v>
      </c>
      <c r="E50" s="1" t="str">
        <f>"2310"</f>
        <v>2310</v>
      </c>
      <c r="F50" s="1" t="s">
        <v>413</v>
      </c>
      <c r="G50" s="1" t="s">
        <v>414</v>
      </c>
      <c r="H50" s="1" t="s">
        <v>15</v>
      </c>
      <c r="I50" s="3" t="str">
        <f>"1"</f>
        <v>1</v>
      </c>
      <c r="J50" s="3" t="str">
        <f>"15000"</f>
        <v>15000</v>
      </c>
      <c r="K50" s="2">
        <v>45880</v>
      </c>
      <c r="L50" s="2">
        <v>45880</v>
      </c>
      <c r="M50" s="1" t="s">
        <v>10968</v>
      </c>
      <c r="N50" s="1" t="s">
        <v>4387</v>
      </c>
    </row>
    <row r="51" spans="1:14" x14ac:dyDescent="0.35">
      <c r="A51" s="1" t="s">
        <v>10917</v>
      </c>
      <c r="B51" s="3" t="s">
        <v>3105</v>
      </c>
      <c r="C51" s="1" t="s">
        <v>3106</v>
      </c>
      <c r="D51" s="1" t="s">
        <v>10967</v>
      </c>
      <c r="E51" s="1" t="str">
        <f>"9905"</f>
        <v>9905</v>
      </c>
      <c r="F51" s="1" t="str">
        <f>"014800644"</f>
        <v>014800644</v>
      </c>
      <c r="G51" s="1" t="s">
        <v>8741</v>
      </c>
      <c r="H51" s="1" t="s">
        <v>15</v>
      </c>
      <c r="I51" s="3" t="str">
        <f>"1"</f>
        <v>1</v>
      </c>
      <c r="J51" s="3">
        <v>197.4</v>
      </c>
      <c r="K51" s="2">
        <v>45878</v>
      </c>
      <c r="L51" s="2">
        <v>45879</v>
      </c>
      <c r="M51" s="1" t="s">
        <v>10966</v>
      </c>
      <c r="N51" s="1" t="s">
        <v>4387</v>
      </c>
    </row>
    <row r="52" spans="1:14" x14ac:dyDescent="0.35">
      <c r="A52" s="1" t="s">
        <v>10917</v>
      </c>
      <c r="B52" s="3" t="s">
        <v>93</v>
      </c>
      <c r="C52" s="1" t="s">
        <v>109</v>
      </c>
      <c r="D52" s="1" t="s">
        <v>10965</v>
      </c>
      <c r="E52" s="1" t="str">
        <f>"7320"</f>
        <v>7320</v>
      </c>
      <c r="F52" s="1" t="s">
        <v>6996</v>
      </c>
      <c r="G52" s="1" t="s">
        <v>6995</v>
      </c>
      <c r="H52" s="1" t="s">
        <v>15</v>
      </c>
      <c r="I52" s="3" t="str">
        <f>"1"</f>
        <v>1</v>
      </c>
      <c r="J52" s="3">
        <v>2086.7800000000002</v>
      </c>
      <c r="K52" s="2">
        <v>45871</v>
      </c>
      <c r="L52" s="2">
        <v>45871</v>
      </c>
      <c r="M52" s="1" t="s">
        <v>6994</v>
      </c>
      <c r="N52" s="1" t="s">
        <v>4387</v>
      </c>
    </row>
    <row r="53" spans="1:14" x14ac:dyDescent="0.35">
      <c r="A53" s="1" t="s">
        <v>10917</v>
      </c>
      <c r="B53" s="3" t="s">
        <v>3105</v>
      </c>
      <c r="C53" s="1" t="s">
        <v>4877</v>
      </c>
      <c r="D53" s="1" t="s">
        <v>10964</v>
      </c>
      <c r="E53" s="1" t="str">
        <f>"7110"</f>
        <v>7110</v>
      </c>
      <c r="F53" s="1" t="s">
        <v>10963</v>
      </c>
      <c r="G53" s="1" t="s">
        <v>10962</v>
      </c>
      <c r="H53" s="1" t="s">
        <v>15</v>
      </c>
      <c r="I53" s="3" t="str">
        <f>"11"</f>
        <v>11</v>
      </c>
      <c r="J53" s="3" t="str">
        <f>"50"</f>
        <v>50</v>
      </c>
      <c r="K53" s="2">
        <v>45871</v>
      </c>
      <c r="L53" s="2">
        <v>45871</v>
      </c>
      <c r="M53" s="1" t="s">
        <v>10961</v>
      </c>
      <c r="N53" s="1" t="s">
        <v>4387</v>
      </c>
    </row>
    <row r="54" spans="1:14" x14ac:dyDescent="0.35">
      <c r="A54" s="1" t="s">
        <v>10917</v>
      </c>
      <c r="B54" s="3" t="s">
        <v>11</v>
      </c>
      <c r="C54" s="1" t="s">
        <v>12</v>
      </c>
      <c r="D54" s="1" t="s">
        <v>10960</v>
      </c>
      <c r="E54" s="1" t="str">
        <f>"5855"</f>
        <v>5855</v>
      </c>
      <c r="F54" s="1" t="str">
        <f>"015711258"</f>
        <v>015711258</v>
      </c>
      <c r="G54" s="1" t="s">
        <v>703</v>
      </c>
      <c r="H54" s="1" t="s">
        <v>15</v>
      </c>
      <c r="I54" s="3" t="str">
        <f>"18"</f>
        <v>18</v>
      </c>
      <c r="J54" s="3" t="str">
        <f>"1082"</f>
        <v>1082</v>
      </c>
      <c r="K54" s="2">
        <v>45866</v>
      </c>
      <c r="L54" s="2">
        <v>45867</v>
      </c>
      <c r="M54" s="1" t="s">
        <v>10959</v>
      </c>
    </row>
    <row r="55" spans="1:14" x14ac:dyDescent="0.35">
      <c r="A55" s="1" t="s">
        <v>10917</v>
      </c>
      <c r="B55" s="3" t="s">
        <v>4087</v>
      </c>
      <c r="C55" s="1" t="s">
        <v>4121</v>
      </c>
      <c r="D55" s="1" t="s">
        <v>10958</v>
      </c>
      <c r="E55" s="1" t="str">
        <f>"3930"</f>
        <v>3930</v>
      </c>
      <c r="F55" s="1" t="s">
        <v>150</v>
      </c>
      <c r="G55" s="1" t="s">
        <v>151</v>
      </c>
      <c r="H55" s="1" t="s">
        <v>15</v>
      </c>
      <c r="I55" s="3" t="str">
        <f>"1"</f>
        <v>1</v>
      </c>
      <c r="J55" s="3" t="str">
        <f>"22000"</f>
        <v>22000</v>
      </c>
      <c r="K55" s="2">
        <v>45864</v>
      </c>
      <c r="L55" s="2">
        <v>45867</v>
      </c>
      <c r="M55" s="1" t="s">
        <v>10957</v>
      </c>
      <c r="N55" s="1" t="s">
        <v>4387</v>
      </c>
    </row>
    <row r="56" spans="1:14" x14ac:dyDescent="0.35">
      <c r="A56" s="1" t="s">
        <v>10917</v>
      </c>
      <c r="B56" s="3" t="s">
        <v>2638</v>
      </c>
      <c r="C56" s="1" t="s">
        <v>2677</v>
      </c>
      <c r="D56" s="1" t="s">
        <v>10956</v>
      </c>
      <c r="E56" s="1" t="str">
        <f>"5820"</f>
        <v>5820</v>
      </c>
      <c r="F56" s="1" t="str">
        <f>"016266241"</f>
        <v>016266241</v>
      </c>
      <c r="G56" s="1" t="s">
        <v>2679</v>
      </c>
      <c r="H56" s="1" t="s">
        <v>15</v>
      </c>
      <c r="I56" s="3" t="str">
        <f>"37"</f>
        <v>37</v>
      </c>
      <c r="J56" s="3" t="str">
        <f>"54100"</f>
        <v>54100</v>
      </c>
      <c r="K56" s="2">
        <v>45866</v>
      </c>
      <c r="L56" s="2">
        <v>45866</v>
      </c>
      <c r="M56" s="1" t="s">
        <v>10955</v>
      </c>
    </row>
    <row r="57" spans="1:14" x14ac:dyDescent="0.35">
      <c r="A57" s="1" t="s">
        <v>10917</v>
      </c>
      <c r="B57" s="3" t="s">
        <v>2638</v>
      </c>
      <c r="C57" s="1" t="s">
        <v>2677</v>
      </c>
      <c r="D57" s="1" t="s">
        <v>10954</v>
      </c>
      <c r="E57" s="1" t="str">
        <f>"5820"</f>
        <v>5820</v>
      </c>
      <c r="F57" s="1" t="str">
        <f>"016266241"</f>
        <v>016266241</v>
      </c>
      <c r="G57" s="1" t="s">
        <v>2679</v>
      </c>
      <c r="H57" s="1" t="s">
        <v>15</v>
      </c>
      <c r="I57" s="3" t="str">
        <f>"37"</f>
        <v>37</v>
      </c>
      <c r="J57" s="3" t="str">
        <f>"54100"</f>
        <v>54100</v>
      </c>
      <c r="K57" s="2">
        <v>45866</v>
      </c>
      <c r="L57" s="2">
        <v>45866</v>
      </c>
      <c r="M57" s="1" t="s">
        <v>10953</v>
      </c>
    </row>
    <row r="58" spans="1:14" x14ac:dyDescent="0.35">
      <c r="A58" s="1" t="s">
        <v>10917</v>
      </c>
      <c r="B58" s="3" t="s">
        <v>2638</v>
      </c>
      <c r="C58" s="1" t="s">
        <v>2677</v>
      </c>
      <c r="D58" s="1" t="s">
        <v>10952</v>
      </c>
      <c r="E58" s="1" t="str">
        <f>"5820"</f>
        <v>5820</v>
      </c>
      <c r="F58" s="1" t="str">
        <f>"016266241"</f>
        <v>016266241</v>
      </c>
      <c r="G58" s="1" t="s">
        <v>2679</v>
      </c>
      <c r="H58" s="1" t="s">
        <v>15</v>
      </c>
      <c r="I58" s="3" t="str">
        <f>"35"</f>
        <v>35</v>
      </c>
      <c r="J58" s="3" t="str">
        <f>"54100"</f>
        <v>54100</v>
      </c>
      <c r="K58" s="2">
        <v>45866</v>
      </c>
      <c r="L58" s="2">
        <v>45866</v>
      </c>
      <c r="M58" s="1" t="s">
        <v>10951</v>
      </c>
    </row>
    <row r="59" spans="1:14" x14ac:dyDescent="0.35">
      <c r="A59" s="1" t="s">
        <v>10917</v>
      </c>
      <c r="B59" s="3" t="s">
        <v>2638</v>
      </c>
      <c r="C59" s="1" t="s">
        <v>2677</v>
      </c>
      <c r="D59" s="1" t="s">
        <v>10950</v>
      </c>
      <c r="E59" s="1" t="str">
        <f>"5820"</f>
        <v>5820</v>
      </c>
      <c r="F59" s="1" t="str">
        <f>"016266241"</f>
        <v>016266241</v>
      </c>
      <c r="G59" s="1" t="s">
        <v>2679</v>
      </c>
      <c r="H59" s="1" t="s">
        <v>15</v>
      </c>
      <c r="I59" s="3" t="str">
        <f>"30"</f>
        <v>30</v>
      </c>
      <c r="J59" s="3" t="str">
        <f>"54100"</f>
        <v>54100</v>
      </c>
      <c r="K59" s="2">
        <v>45866</v>
      </c>
      <c r="L59" s="2">
        <v>45866</v>
      </c>
      <c r="M59" s="1" t="s">
        <v>10949</v>
      </c>
    </row>
    <row r="60" spans="1:14" x14ac:dyDescent="0.35">
      <c r="A60" s="1" t="s">
        <v>10917</v>
      </c>
      <c r="B60" s="3" t="s">
        <v>93</v>
      </c>
      <c r="C60" s="1" t="s">
        <v>267</v>
      </c>
      <c r="D60" s="1" t="s">
        <v>10948</v>
      </c>
      <c r="E60" s="1" t="str">
        <f>"1940"</f>
        <v>1940</v>
      </c>
      <c r="F60" s="1" t="s">
        <v>567</v>
      </c>
      <c r="G60" s="1" t="s">
        <v>568</v>
      </c>
      <c r="H60" s="1" t="s">
        <v>15</v>
      </c>
      <c r="I60" s="3" t="str">
        <f>"1"</f>
        <v>1</v>
      </c>
      <c r="J60" s="3" t="str">
        <f>"10000"</f>
        <v>10000</v>
      </c>
      <c r="K60" s="2">
        <v>45864</v>
      </c>
      <c r="L60" s="2">
        <v>45866</v>
      </c>
      <c r="M60" s="1" t="s">
        <v>10947</v>
      </c>
      <c r="N60" s="1" t="s">
        <v>4387</v>
      </c>
    </row>
    <row r="61" spans="1:14" x14ac:dyDescent="0.35">
      <c r="A61" s="1" t="s">
        <v>10917</v>
      </c>
      <c r="B61" s="3" t="s">
        <v>93</v>
      </c>
      <c r="C61" s="1" t="s">
        <v>109</v>
      </c>
      <c r="D61" s="1" t="s">
        <v>10946</v>
      </c>
      <c r="E61" s="1" t="str">
        <f>"2340"</f>
        <v>2340</v>
      </c>
      <c r="F61" s="1" t="s">
        <v>439</v>
      </c>
      <c r="G61" s="1" t="s">
        <v>440</v>
      </c>
      <c r="H61" s="1" t="s">
        <v>15</v>
      </c>
      <c r="I61" s="3" t="str">
        <f>"1"</f>
        <v>1</v>
      </c>
      <c r="J61" s="3" t="str">
        <f>"1500"</f>
        <v>1500</v>
      </c>
      <c r="K61" s="2">
        <v>45865</v>
      </c>
      <c r="L61" s="2">
        <v>45865</v>
      </c>
      <c r="M61" s="1" t="s">
        <v>10945</v>
      </c>
    </row>
    <row r="62" spans="1:14" x14ac:dyDescent="0.35">
      <c r="A62" s="1" t="s">
        <v>10917</v>
      </c>
      <c r="B62" s="3" t="s">
        <v>93</v>
      </c>
      <c r="C62" s="1" t="s">
        <v>267</v>
      </c>
      <c r="D62" s="1" t="s">
        <v>10944</v>
      </c>
      <c r="E62" s="1" t="str">
        <f>"5965"</f>
        <v>5965</v>
      </c>
      <c r="F62" s="1" t="str">
        <f>"013823222"</f>
        <v>013823222</v>
      </c>
      <c r="G62" s="1" t="s">
        <v>10943</v>
      </c>
      <c r="H62" s="1" t="s">
        <v>15</v>
      </c>
      <c r="I62" s="3" t="str">
        <f>"1"</f>
        <v>1</v>
      </c>
      <c r="J62" s="3" t="str">
        <f>"442"</f>
        <v>442</v>
      </c>
      <c r="K62" s="2">
        <v>45864</v>
      </c>
      <c r="L62" s="2">
        <v>45864</v>
      </c>
      <c r="M62" s="1" t="s">
        <v>10942</v>
      </c>
    </row>
    <row r="63" spans="1:14" x14ac:dyDescent="0.35">
      <c r="A63" s="1" t="s">
        <v>10917</v>
      </c>
      <c r="B63" s="3" t="s">
        <v>93</v>
      </c>
      <c r="C63" s="1" t="s">
        <v>267</v>
      </c>
      <c r="D63" s="1" t="s">
        <v>10941</v>
      </c>
      <c r="E63" s="1" t="str">
        <f>"2540"</f>
        <v>2540</v>
      </c>
      <c r="F63" s="1" t="str">
        <f>"011236839"</f>
        <v>011236839</v>
      </c>
      <c r="G63" s="1" t="s">
        <v>10940</v>
      </c>
      <c r="H63" s="1" t="s">
        <v>15</v>
      </c>
      <c r="I63" s="3" t="str">
        <f>"1"</f>
        <v>1</v>
      </c>
      <c r="J63" s="3">
        <v>1795.95</v>
      </c>
      <c r="K63" s="2">
        <v>45864</v>
      </c>
      <c r="L63" s="2">
        <v>45864</v>
      </c>
      <c r="M63" s="1" t="s">
        <v>10939</v>
      </c>
      <c r="N63" s="1" t="s">
        <v>4387</v>
      </c>
    </row>
    <row r="64" spans="1:14" x14ac:dyDescent="0.35">
      <c r="A64" s="1" t="s">
        <v>10917</v>
      </c>
      <c r="B64" s="3" t="s">
        <v>93</v>
      </c>
      <c r="C64" s="1" t="s">
        <v>267</v>
      </c>
      <c r="D64" s="1" t="s">
        <v>10938</v>
      </c>
      <c r="E64" s="1" t="str">
        <f>"8465"</f>
        <v>8465</v>
      </c>
      <c r="F64" s="1" t="str">
        <f>"015247232"</f>
        <v>015247232</v>
      </c>
      <c r="G64" s="1" t="s">
        <v>296</v>
      </c>
      <c r="H64" s="1" t="s">
        <v>15</v>
      </c>
      <c r="I64" s="3" t="str">
        <f>"2"</f>
        <v>2</v>
      </c>
      <c r="J64" s="3">
        <v>28.46</v>
      </c>
      <c r="K64" s="2">
        <v>45864</v>
      </c>
      <c r="L64" s="2">
        <v>45864</v>
      </c>
      <c r="M64" s="1" t="s">
        <v>10937</v>
      </c>
    </row>
    <row r="65" spans="1:14" x14ac:dyDescent="0.35">
      <c r="A65" s="1" t="s">
        <v>10917</v>
      </c>
      <c r="B65" s="3" t="s">
        <v>2248</v>
      </c>
      <c r="C65" s="1" t="s">
        <v>10936</v>
      </c>
      <c r="D65" s="1" t="s">
        <v>10935</v>
      </c>
      <c r="E65" s="1" t="str">
        <f>"2320"</f>
        <v>2320</v>
      </c>
      <c r="F65" s="1" t="str">
        <f>"009650239"</f>
        <v>009650239</v>
      </c>
      <c r="G65" s="1" t="s">
        <v>10934</v>
      </c>
      <c r="H65" s="1" t="s">
        <v>15</v>
      </c>
      <c r="I65" s="3" t="str">
        <f>"1"</f>
        <v>1</v>
      </c>
      <c r="J65" s="3" t="str">
        <f>"18378"</f>
        <v>18378</v>
      </c>
      <c r="K65" s="2">
        <v>45862</v>
      </c>
      <c r="L65" s="2">
        <v>45862</v>
      </c>
      <c r="M65" s="1" t="s">
        <v>10933</v>
      </c>
    </row>
    <row r="66" spans="1:14" x14ac:dyDescent="0.35">
      <c r="A66" s="1" t="s">
        <v>10917</v>
      </c>
      <c r="B66" s="3" t="s">
        <v>2248</v>
      </c>
      <c r="C66" s="1" t="s">
        <v>2414</v>
      </c>
      <c r="D66" s="1" t="s">
        <v>10932</v>
      </c>
      <c r="E66" s="1" t="str">
        <f>"8465"</f>
        <v>8465</v>
      </c>
      <c r="F66" s="1" t="str">
        <f>"015255531"</f>
        <v>015255531</v>
      </c>
      <c r="G66" s="1" t="s">
        <v>2870</v>
      </c>
      <c r="H66" s="1" t="s">
        <v>15</v>
      </c>
      <c r="I66" s="3" t="str">
        <f>"1"</f>
        <v>1</v>
      </c>
      <c r="J66" s="3">
        <v>68.7</v>
      </c>
      <c r="K66" s="2">
        <v>45861</v>
      </c>
      <c r="L66" s="2">
        <v>45861</v>
      </c>
      <c r="M66" s="1" t="s">
        <v>10931</v>
      </c>
    </row>
    <row r="67" spans="1:14" x14ac:dyDescent="0.35">
      <c r="A67" s="1" t="s">
        <v>10917</v>
      </c>
      <c r="B67" s="3" t="s">
        <v>1445</v>
      </c>
      <c r="C67" s="1" t="s">
        <v>1679</v>
      </c>
      <c r="D67" s="1" t="s">
        <v>10930</v>
      </c>
      <c r="E67" s="1" t="str">
        <f>"2320"</f>
        <v>2320</v>
      </c>
      <c r="F67" s="1" t="s">
        <v>321</v>
      </c>
      <c r="G67" s="1" t="s">
        <v>322</v>
      </c>
      <c r="H67" s="1" t="s">
        <v>15</v>
      </c>
      <c r="I67" s="3" t="str">
        <f>"1"</f>
        <v>1</v>
      </c>
      <c r="J67" s="3" t="str">
        <f>"80000"</f>
        <v>80000</v>
      </c>
      <c r="K67" s="2">
        <v>45859</v>
      </c>
      <c r="L67" s="2">
        <v>45860</v>
      </c>
      <c r="M67" s="1" t="s">
        <v>10929</v>
      </c>
      <c r="N67" s="1" t="s">
        <v>4387</v>
      </c>
    </row>
    <row r="68" spans="1:14" x14ac:dyDescent="0.35">
      <c r="A68" s="1" t="s">
        <v>10917</v>
      </c>
      <c r="B68" s="3" t="s">
        <v>3183</v>
      </c>
      <c r="C68" s="1" t="s">
        <v>5447</v>
      </c>
      <c r="D68" s="1" t="s">
        <v>10928</v>
      </c>
      <c r="E68" s="1" t="str">
        <f>"2320"</f>
        <v>2320</v>
      </c>
      <c r="F68" s="1" t="str">
        <f>"013477645"</f>
        <v>013477645</v>
      </c>
      <c r="G68" s="1" t="s">
        <v>5445</v>
      </c>
      <c r="H68" s="1" t="s">
        <v>15</v>
      </c>
      <c r="I68" s="3" t="str">
        <f>"1"</f>
        <v>1</v>
      </c>
      <c r="J68" s="3" t="str">
        <f>"350000"</f>
        <v>350000</v>
      </c>
      <c r="K68" s="2">
        <v>45856</v>
      </c>
      <c r="L68" s="2">
        <v>45856</v>
      </c>
      <c r="M68" s="1" t="s">
        <v>10927</v>
      </c>
      <c r="N68" s="1" t="s">
        <v>4387</v>
      </c>
    </row>
    <row r="69" spans="1:14" x14ac:dyDescent="0.35">
      <c r="A69" s="1" t="s">
        <v>10917</v>
      </c>
      <c r="B69" s="3" t="s">
        <v>1407</v>
      </c>
      <c r="C69" s="1" t="s">
        <v>1408</v>
      </c>
      <c r="D69" s="1" t="s">
        <v>10926</v>
      </c>
      <c r="E69" s="1" t="str">
        <f>"8340"</f>
        <v>8340</v>
      </c>
      <c r="F69" s="1" t="str">
        <f>"015588711"</f>
        <v>015588711</v>
      </c>
      <c r="G69" s="1" t="s">
        <v>5260</v>
      </c>
      <c r="H69" s="1" t="s">
        <v>15</v>
      </c>
      <c r="I69" s="3" t="str">
        <f>"4"</f>
        <v>4</v>
      </c>
      <c r="J69" s="3">
        <v>45957.95</v>
      </c>
      <c r="K69" s="2">
        <v>45853</v>
      </c>
      <c r="L69" s="2">
        <v>45853</v>
      </c>
      <c r="M69" s="1" t="s">
        <v>5730</v>
      </c>
    </row>
    <row r="70" spans="1:14" x14ac:dyDescent="0.35">
      <c r="A70" s="1" t="s">
        <v>10917</v>
      </c>
      <c r="B70" s="3" t="s">
        <v>2248</v>
      </c>
      <c r="C70" s="1" t="s">
        <v>2326</v>
      </c>
      <c r="D70" s="1" t="s">
        <v>10925</v>
      </c>
      <c r="E70" s="1" t="str">
        <f>"2320"</f>
        <v>2320</v>
      </c>
      <c r="F70" s="1" t="str">
        <f>"015761809"</f>
        <v>015761809</v>
      </c>
      <c r="G70" s="1" t="s">
        <v>1799</v>
      </c>
      <c r="H70" s="1" t="s">
        <v>15</v>
      </c>
      <c r="I70" s="3" t="str">
        <f>"1"</f>
        <v>1</v>
      </c>
      <c r="J70" s="3" t="str">
        <f>"13600"</f>
        <v>13600</v>
      </c>
      <c r="K70" s="2">
        <v>45846</v>
      </c>
      <c r="L70" s="2">
        <v>45846</v>
      </c>
      <c r="M70" s="1" t="s">
        <v>2328</v>
      </c>
      <c r="N70" s="1" t="s">
        <v>4387</v>
      </c>
    </row>
    <row r="71" spans="1:14" x14ac:dyDescent="0.35">
      <c r="A71" s="1" t="s">
        <v>10917</v>
      </c>
      <c r="B71" s="3" t="s">
        <v>3183</v>
      </c>
      <c r="C71" s="1" t="s">
        <v>3364</v>
      </c>
      <c r="D71" s="1" t="s">
        <v>10924</v>
      </c>
      <c r="E71" s="1" t="str">
        <f>"6720"</f>
        <v>6720</v>
      </c>
      <c r="F71" s="1" t="s">
        <v>443</v>
      </c>
      <c r="G71" s="1" t="s">
        <v>444</v>
      </c>
      <c r="H71" s="1" t="s">
        <v>15</v>
      </c>
      <c r="I71" s="3" t="str">
        <f>"2"</f>
        <v>2</v>
      </c>
      <c r="J71" s="3" t="str">
        <f>"800"</f>
        <v>800</v>
      </c>
      <c r="K71" s="2">
        <v>45845</v>
      </c>
      <c r="L71" s="2">
        <v>45846</v>
      </c>
      <c r="M71" s="1" t="s">
        <v>4920</v>
      </c>
    </row>
    <row r="72" spans="1:14" x14ac:dyDescent="0.35">
      <c r="A72" s="1" t="s">
        <v>10917</v>
      </c>
      <c r="B72" s="3" t="s">
        <v>93</v>
      </c>
      <c r="C72" s="1" t="s">
        <v>109</v>
      </c>
      <c r="D72" s="1" t="s">
        <v>10923</v>
      </c>
      <c r="E72" s="1" t="str">
        <f>"2340"</f>
        <v>2340</v>
      </c>
      <c r="F72" s="1" t="str">
        <f>"015253088"</f>
        <v>015253088</v>
      </c>
      <c r="G72" s="1" t="s">
        <v>2167</v>
      </c>
      <c r="H72" s="1" t="s">
        <v>15</v>
      </c>
      <c r="I72" s="3" t="str">
        <f>"1"</f>
        <v>1</v>
      </c>
      <c r="J72" s="3" t="str">
        <f>"9652"</f>
        <v>9652</v>
      </c>
      <c r="K72" s="2">
        <v>45844</v>
      </c>
      <c r="L72" s="2">
        <v>45846</v>
      </c>
      <c r="M72" s="1" t="s">
        <v>10922</v>
      </c>
    </row>
    <row r="73" spans="1:14" x14ac:dyDescent="0.35">
      <c r="A73" s="1" t="s">
        <v>10917</v>
      </c>
      <c r="B73" s="3" t="s">
        <v>2114</v>
      </c>
      <c r="C73" s="1" t="s">
        <v>2134</v>
      </c>
      <c r="D73" s="1" t="s">
        <v>10921</v>
      </c>
      <c r="E73" s="1" t="str">
        <f>"6545"</f>
        <v>6545</v>
      </c>
      <c r="F73" s="1" t="str">
        <f>"016675039"</f>
        <v>016675039</v>
      </c>
      <c r="G73" s="1" t="s">
        <v>293</v>
      </c>
      <c r="H73" s="1" t="s">
        <v>15</v>
      </c>
      <c r="I73" s="3" t="str">
        <f>"3"</f>
        <v>3</v>
      </c>
      <c r="J73" s="3">
        <v>259.02999999999997</v>
      </c>
      <c r="K73" s="2">
        <v>45844</v>
      </c>
      <c r="L73" s="2">
        <v>45844</v>
      </c>
      <c r="M73" s="1" t="s">
        <v>10920</v>
      </c>
    </row>
    <row r="74" spans="1:14" x14ac:dyDescent="0.35">
      <c r="A74" s="1" t="s">
        <v>10917</v>
      </c>
      <c r="B74" s="3" t="s">
        <v>2720</v>
      </c>
      <c r="C74" s="1" t="s">
        <v>2897</v>
      </c>
      <c r="D74" s="1" t="s">
        <v>10919</v>
      </c>
      <c r="E74" s="1" t="str">
        <f>"6220"</f>
        <v>6220</v>
      </c>
      <c r="F74" s="1" t="str">
        <f>"015486048"</f>
        <v>015486048</v>
      </c>
      <c r="G74" s="1" t="s">
        <v>10918</v>
      </c>
      <c r="H74" s="1" t="s">
        <v>15</v>
      </c>
      <c r="I74" s="3" t="str">
        <f>"4"</f>
        <v>4</v>
      </c>
      <c r="J74" s="3">
        <v>1646.7</v>
      </c>
      <c r="K74" s="2">
        <v>45840</v>
      </c>
      <c r="L74" s="2">
        <v>45841</v>
      </c>
      <c r="M74" s="1" t="s">
        <v>2922</v>
      </c>
      <c r="N74" s="1" t="s">
        <v>4387</v>
      </c>
    </row>
    <row r="75" spans="1:14" x14ac:dyDescent="0.35">
      <c r="A75" s="1" t="s">
        <v>10917</v>
      </c>
      <c r="B75" s="3" t="s">
        <v>1445</v>
      </c>
      <c r="C75" s="1" t="s">
        <v>1459</v>
      </c>
      <c r="D75" s="1" t="s">
        <v>10916</v>
      </c>
      <c r="E75" s="1" t="str">
        <f>"6650"</f>
        <v>6650</v>
      </c>
      <c r="F75" s="1" t="str">
        <f>"005300960"</f>
        <v>005300960</v>
      </c>
      <c r="G75" s="1" t="s">
        <v>10915</v>
      </c>
      <c r="H75" s="1" t="s">
        <v>15</v>
      </c>
      <c r="I75" s="3" t="str">
        <f>"2"</f>
        <v>2</v>
      </c>
      <c r="J75" s="3" t="str">
        <f>"442"</f>
        <v>442</v>
      </c>
      <c r="K75" s="2">
        <v>45839</v>
      </c>
      <c r="L75" s="2">
        <v>45841</v>
      </c>
      <c r="M75" s="1" t="s">
        <v>10914</v>
      </c>
      <c r="N75" s="1" t="s">
        <v>4387</v>
      </c>
    </row>
    <row r="76" spans="1:14" x14ac:dyDescent="0.35">
      <c r="A76" s="1" t="s">
        <v>10574</v>
      </c>
      <c r="B76" s="3" t="s">
        <v>2145</v>
      </c>
      <c r="C76" s="1" t="s">
        <v>2153</v>
      </c>
      <c r="D76" s="1" t="s">
        <v>10913</v>
      </c>
      <c r="E76" s="1" t="str">
        <f>"5855"</f>
        <v>5855</v>
      </c>
      <c r="F76" s="1" t="str">
        <f>"014778738"</f>
        <v>014778738</v>
      </c>
      <c r="G76" s="1" t="s">
        <v>1942</v>
      </c>
      <c r="H76" s="1" t="s">
        <v>15</v>
      </c>
      <c r="I76" s="3" t="str">
        <f>"20"</f>
        <v>20</v>
      </c>
      <c r="J76" s="3" t="str">
        <f>"7830"</f>
        <v>7830</v>
      </c>
      <c r="K76" s="2">
        <v>45929</v>
      </c>
      <c r="L76" s="2">
        <v>45929</v>
      </c>
      <c r="M76" s="1" t="s">
        <v>10911</v>
      </c>
      <c r="N76" s="1" t="s">
        <v>10890</v>
      </c>
    </row>
    <row r="77" spans="1:14" x14ac:dyDescent="0.35">
      <c r="A77" s="1" t="s">
        <v>10574</v>
      </c>
      <c r="B77" s="3" t="s">
        <v>2145</v>
      </c>
      <c r="C77" s="1" t="s">
        <v>2153</v>
      </c>
      <c r="D77" s="1" t="s">
        <v>10912</v>
      </c>
      <c r="E77" s="1" t="str">
        <f>"5855"</f>
        <v>5855</v>
      </c>
      <c r="F77" s="1" t="str">
        <f>"015847217"</f>
        <v>015847217</v>
      </c>
      <c r="G77" s="1" t="s">
        <v>1942</v>
      </c>
      <c r="H77" s="1" t="s">
        <v>15</v>
      </c>
      <c r="I77" s="3" t="str">
        <f>"5"</f>
        <v>5</v>
      </c>
      <c r="J77" s="3" t="str">
        <f>"35674"</f>
        <v>35674</v>
      </c>
      <c r="K77" s="2">
        <v>45929</v>
      </c>
      <c r="L77" s="2">
        <v>45929</v>
      </c>
      <c r="M77" s="1" t="s">
        <v>10911</v>
      </c>
      <c r="N77" s="1" t="s">
        <v>10890</v>
      </c>
    </row>
    <row r="78" spans="1:14" x14ac:dyDescent="0.35">
      <c r="A78" s="1" t="s">
        <v>10574</v>
      </c>
      <c r="B78" s="3" t="s">
        <v>2720</v>
      </c>
      <c r="C78" s="1" t="s">
        <v>2745</v>
      </c>
      <c r="D78" s="1" t="s">
        <v>10910</v>
      </c>
      <c r="E78" s="1" t="str">
        <f>"5855"</f>
        <v>5855</v>
      </c>
      <c r="F78" s="1" t="str">
        <f>"014778738"</f>
        <v>014778738</v>
      </c>
      <c r="G78" s="1" t="s">
        <v>1942</v>
      </c>
      <c r="H78" s="1" t="s">
        <v>15</v>
      </c>
      <c r="I78" s="3" t="str">
        <f>"20"</f>
        <v>20</v>
      </c>
      <c r="J78" s="3" t="str">
        <f>"7830"</f>
        <v>7830</v>
      </c>
      <c r="K78" s="2">
        <v>45928</v>
      </c>
      <c r="L78" s="2">
        <v>45929</v>
      </c>
      <c r="M78" s="1" t="s">
        <v>10908</v>
      </c>
      <c r="N78" s="1" t="s">
        <v>10890</v>
      </c>
    </row>
    <row r="79" spans="1:14" x14ac:dyDescent="0.35">
      <c r="A79" s="1" t="s">
        <v>10574</v>
      </c>
      <c r="B79" s="3" t="s">
        <v>2720</v>
      </c>
      <c r="C79" s="1" t="s">
        <v>2745</v>
      </c>
      <c r="D79" s="1" t="s">
        <v>10909</v>
      </c>
      <c r="E79" s="1" t="str">
        <f>"5855"</f>
        <v>5855</v>
      </c>
      <c r="F79" s="1" t="str">
        <f>"015847217"</f>
        <v>015847217</v>
      </c>
      <c r="G79" s="1" t="s">
        <v>1942</v>
      </c>
      <c r="H79" s="1" t="s">
        <v>15</v>
      </c>
      <c r="I79" s="3" t="str">
        <f>"5"</f>
        <v>5</v>
      </c>
      <c r="J79" s="3" t="str">
        <f>"35674"</f>
        <v>35674</v>
      </c>
      <c r="K79" s="2">
        <v>45928</v>
      </c>
      <c r="L79" s="2">
        <v>45929</v>
      </c>
      <c r="M79" s="1" t="s">
        <v>10908</v>
      </c>
      <c r="N79" s="1" t="s">
        <v>10890</v>
      </c>
    </row>
    <row r="80" spans="1:14" x14ac:dyDescent="0.35">
      <c r="A80" s="1" t="s">
        <v>10574</v>
      </c>
      <c r="B80" s="3" t="s">
        <v>2248</v>
      </c>
      <c r="C80" s="1" t="s">
        <v>2375</v>
      </c>
      <c r="D80" s="1" t="s">
        <v>10907</v>
      </c>
      <c r="E80" s="1" t="str">
        <f>"2320"</f>
        <v>2320</v>
      </c>
      <c r="F80" s="1" t="str">
        <f>"015402038"</f>
        <v>015402038</v>
      </c>
      <c r="G80" s="1" t="s">
        <v>604</v>
      </c>
      <c r="H80" s="1" t="s">
        <v>15</v>
      </c>
      <c r="I80" s="3" t="str">
        <f>"1"</f>
        <v>1</v>
      </c>
      <c r="J80" s="3" t="str">
        <f>"225121"</f>
        <v>225121</v>
      </c>
      <c r="K80" s="2">
        <v>45928</v>
      </c>
      <c r="L80" s="2">
        <v>45929</v>
      </c>
      <c r="M80" s="1" t="s">
        <v>10906</v>
      </c>
      <c r="N80" s="1" t="s">
        <v>10905</v>
      </c>
    </row>
    <row r="81" spans="1:14" x14ac:dyDescent="0.35">
      <c r="A81" s="1" t="s">
        <v>10574</v>
      </c>
      <c r="B81" s="3" t="s">
        <v>2720</v>
      </c>
      <c r="C81" s="1" t="s">
        <v>2745</v>
      </c>
      <c r="D81" s="1" t="s">
        <v>10904</v>
      </c>
      <c r="E81" s="1" t="str">
        <f>"5855"</f>
        <v>5855</v>
      </c>
      <c r="F81" s="1" t="str">
        <f>"015847217"</f>
        <v>015847217</v>
      </c>
      <c r="G81" s="1" t="s">
        <v>1942</v>
      </c>
      <c r="H81" s="1" t="s">
        <v>15</v>
      </c>
      <c r="I81" s="3" t="str">
        <f>"10"</f>
        <v>10</v>
      </c>
      <c r="J81" s="3" t="str">
        <f>"35674"</f>
        <v>35674</v>
      </c>
      <c r="K81" s="2">
        <v>45927</v>
      </c>
      <c r="L81" s="2">
        <v>45929</v>
      </c>
      <c r="M81" s="1" t="s">
        <v>10903</v>
      </c>
      <c r="N81" s="1" t="s">
        <v>10890</v>
      </c>
    </row>
    <row r="82" spans="1:14" x14ac:dyDescent="0.35">
      <c r="A82" s="1" t="s">
        <v>10574</v>
      </c>
      <c r="B82" s="3" t="s">
        <v>2145</v>
      </c>
      <c r="C82" s="1" t="s">
        <v>9860</v>
      </c>
      <c r="D82" s="1" t="s">
        <v>10902</v>
      </c>
      <c r="E82" s="1" t="str">
        <f>"5855"</f>
        <v>5855</v>
      </c>
      <c r="F82" s="1" t="str">
        <f>"015847217"</f>
        <v>015847217</v>
      </c>
      <c r="G82" s="1" t="s">
        <v>1942</v>
      </c>
      <c r="H82" s="1" t="s">
        <v>15</v>
      </c>
      <c r="I82" s="3" t="str">
        <f>"9"</f>
        <v>9</v>
      </c>
      <c r="J82" s="3" t="str">
        <f>"35674"</f>
        <v>35674</v>
      </c>
      <c r="K82" s="2">
        <v>45927</v>
      </c>
      <c r="L82" s="2">
        <v>45929</v>
      </c>
      <c r="M82" s="1" t="s">
        <v>10901</v>
      </c>
      <c r="N82" s="1" t="s">
        <v>10890</v>
      </c>
    </row>
    <row r="83" spans="1:14" x14ac:dyDescent="0.35">
      <c r="A83" s="1" t="s">
        <v>10574</v>
      </c>
      <c r="B83" s="3" t="s">
        <v>2248</v>
      </c>
      <c r="C83" s="1" t="s">
        <v>2265</v>
      </c>
      <c r="D83" s="1" t="s">
        <v>10900</v>
      </c>
      <c r="E83" s="1" t="str">
        <f>"8465"</f>
        <v>8465</v>
      </c>
      <c r="F83" s="1" t="str">
        <f>"015148590"</f>
        <v>015148590</v>
      </c>
      <c r="G83" s="1" t="s">
        <v>10899</v>
      </c>
      <c r="H83" s="1" t="s">
        <v>10898</v>
      </c>
      <c r="I83" s="3" t="str">
        <f>"80"</f>
        <v>80</v>
      </c>
      <c r="J83" s="3">
        <v>29.46</v>
      </c>
      <c r="K83" s="2">
        <v>45922</v>
      </c>
      <c r="L83" s="2">
        <v>45929</v>
      </c>
      <c r="M83" s="1" t="s">
        <v>10897</v>
      </c>
      <c r="N83" s="1" t="s">
        <v>10896</v>
      </c>
    </row>
    <row r="84" spans="1:14" x14ac:dyDescent="0.35">
      <c r="A84" s="1" t="s">
        <v>10574</v>
      </c>
      <c r="B84" s="3" t="s">
        <v>691</v>
      </c>
      <c r="C84" s="1" t="s">
        <v>782</v>
      </c>
      <c r="D84" s="1" t="s">
        <v>10895</v>
      </c>
      <c r="E84" s="1" t="str">
        <f>"6115"</f>
        <v>6115</v>
      </c>
      <c r="F84" s="1" t="s">
        <v>174</v>
      </c>
      <c r="G84" s="1" t="s">
        <v>175</v>
      </c>
      <c r="H84" s="1" t="s">
        <v>15</v>
      </c>
      <c r="I84" s="3" t="str">
        <f>"1"</f>
        <v>1</v>
      </c>
      <c r="J84" s="3" t="str">
        <f>"1446"</f>
        <v>1446</v>
      </c>
      <c r="K84" s="2">
        <v>45925</v>
      </c>
      <c r="L84" s="2">
        <v>45926</v>
      </c>
      <c r="M84" s="1" t="s">
        <v>10894</v>
      </c>
      <c r="N84" s="1" t="s">
        <v>10893</v>
      </c>
    </row>
    <row r="85" spans="1:14" x14ac:dyDescent="0.35">
      <c r="A85" s="1" t="s">
        <v>10574</v>
      </c>
      <c r="B85" s="3" t="s">
        <v>2145</v>
      </c>
      <c r="C85" s="1" t="s">
        <v>9149</v>
      </c>
      <c r="D85" s="1" t="s">
        <v>10892</v>
      </c>
      <c r="E85" s="1" t="str">
        <f>"5855"</f>
        <v>5855</v>
      </c>
      <c r="F85" s="1" t="str">
        <f>"015870783"</f>
        <v>015870783</v>
      </c>
      <c r="G85" s="1" t="s">
        <v>1942</v>
      </c>
      <c r="H85" s="1" t="s">
        <v>15</v>
      </c>
      <c r="I85" s="3" t="str">
        <f>"1"</f>
        <v>1</v>
      </c>
      <c r="J85" s="3" t="str">
        <f>"32000"</f>
        <v>32000</v>
      </c>
      <c r="K85" s="2">
        <v>45924</v>
      </c>
      <c r="L85" s="2">
        <v>45925</v>
      </c>
      <c r="M85" s="1" t="s">
        <v>10891</v>
      </c>
      <c r="N85" s="1" t="s">
        <v>10890</v>
      </c>
    </row>
    <row r="86" spans="1:14" x14ac:dyDescent="0.35">
      <c r="A86" s="1" t="s">
        <v>10574</v>
      </c>
      <c r="B86" s="3" t="s">
        <v>1437</v>
      </c>
      <c r="C86" s="1" t="s">
        <v>9141</v>
      </c>
      <c r="D86" s="1" t="s">
        <v>10889</v>
      </c>
      <c r="E86" s="1" t="str">
        <f>"7110"</f>
        <v>7110</v>
      </c>
      <c r="F86" s="1" t="s">
        <v>1782</v>
      </c>
      <c r="G86" s="1" t="s">
        <v>1783</v>
      </c>
      <c r="H86" s="1" t="s">
        <v>15</v>
      </c>
      <c r="I86" s="3" t="str">
        <f>"1"</f>
        <v>1</v>
      </c>
      <c r="J86" s="3" t="str">
        <f>"25"</f>
        <v>25</v>
      </c>
      <c r="K86" s="2">
        <v>45924</v>
      </c>
      <c r="L86" s="2">
        <v>45925</v>
      </c>
      <c r="M86" s="1" t="s">
        <v>10888</v>
      </c>
      <c r="N86" s="1" t="s">
        <v>10887</v>
      </c>
    </row>
    <row r="87" spans="1:14" x14ac:dyDescent="0.35">
      <c r="A87" s="1" t="s">
        <v>10574</v>
      </c>
      <c r="B87" s="3" t="s">
        <v>2114</v>
      </c>
      <c r="C87" s="1" t="s">
        <v>9243</v>
      </c>
      <c r="D87" s="1" t="s">
        <v>10886</v>
      </c>
      <c r="E87" s="1" t="str">
        <f>"5855"</f>
        <v>5855</v>
      </c>
      <c r="F87" s="1" t="s">
        <v>2918</v>
      </c>
      <c r="G87" s="1" t="s">
        <v>2919</v>
      </c>
      <c r="H87" s="1" t="s">
        <v>15</v>
      </c>
      <c r="I87" s="3" t="str">
        <f>"3"</f>
        <v>3</v>
      </c>
      <c r="J87" s="3" t="str">
        <f>"12000"</f>
        <v>12000</v>
      </c>
      <c r="K87" s="2">
        <v>45922</v>
      </c>
      <c r="L87" s="2">
        <v>45924</v>
      </c>
      <c r="M87" s="1" t="s">
        <v>10885</v>
      </c>
      <c r="N87" s="1" t="s">
        <v>10817</v>
      </c>
    </row>
    <row r="88" spans="1:14" x14ac:dyDescent="0.35">
      <c r="A88" s="1" t="s">
        <v>10574</v>
      </c>
      <c r="B88" s="3" t="s">
        <v>2114</v>
      </c>
      <c r="C88" s="1" t="s">
        <v>9243</v>
      </c>
      <c r="D88" s="1" t="s">
        <v>10884</v>
      </c>
      <c r="E88" s="1" t="str">
        <f>"5855"</f>
        <v>5855</v>
      </c>
      <c r="F88" s="1" t="str">
        <f>"015847217"</f>
        <v>015847217</v>
      </c>
      <c r="G88" s="1" t="s">
        <v>1942</v>
      </c>
      <c r="H88" s="1" t="s">
        <v>15</v>
      </c>
      <c r="I88" s="3" t="str">
        <f>"40"</f>
        <v>40</v>
      </c>
      <c r="J88" s="3" t="str">
        <f>"35674"</f>
        <v>35674</v>
      </c>
      <c r="K88" s="2">
        <v>45922</v>
      </c>
      <c r="L88" s="2">
        <v>45924</v>
      </c>
      <c r="M88" s="1" t="s">
        <v>10883</v>
      </c>
      <c r="N88" s="1" t="s">
        <v>10817</v>
      </c>
    </row>
    <row r="89" spans="1:14" x14ac:dyDescent="0.35">
      <c r="A89" s="1" t="s">
        <v>10574</v>
      </c>
      <c r="B89" s="3" t="s">
        <v>2114</v>
      </c>
      <c r="C89" s="1" t="s">
        <v>9243</v>
      </c>
      <c r="D89" s="1" t="s">
        <v>10882</v>
      </c>
      <c r="E89" s="1" t="str">
        <f>"5855"</f>
        <v>5855</v>
      </c>
      <c r="F89" s="1" t="str">
        <f>"015711258"</f>
        <v>015711258</v>
      </c>
      <c r="G89" s="1" t="s">
        <v>703</v>
      </c>
      <c r="H89" s="1" t="s">
        <v>15</v>
      </c>
      <c r="I89" s="3" t="str">
        <f>"8"</f>
        <v>8</v>
      </c>
      <c r="J89" s="3" t="str">
        <f>"1082"</f>
        <v>1082</v>
      </c>
      <c r="K89" s="2">
        <v>45918</v>
      </c>
      <c r="L89" s="2">
        <v>45924</v>
      </c>
      <c r="M89" s="1" t="s">
        <v>10881</v>
      </c>
      <c r="N89" s="1" t="s">
        <v>10880</v>
      </c>
    </row>
    <row r="90" spans="1:14" x14ac:dyDescent="0.35">
      <c r="A90" s="1" t="s">
        <v>10574</v>
      </c>
      <c r="B90" s="3" t="s">
        <v>2145</v>
      </c>
      <c r="C90" s="1" t="s">
        <v>2213</v>
      </c>
      <c r="D90" s="1" t="s">
        <v>10879</v>
      </c>
      <c r="E90" s="1" t="str">
        <f>"5855"</f>
        <v>5855</v>
      </c>
      <c r="F90" s="1" t="str">
        <f>"015369873"</f>
        <v>015369873</v>
      </c>
      <c r="G90" s="1" t="s">
        <v>1379</v>
      </c>
      <c r="H90" s="1" t="s">
        <v>15</v>
      </c>
      <c r="I90" s="3" t="str">
        <f>"2"</f>
        <v>2</v>
      </c>
      <c r="J90" s="3">
        <v>15697.89</v>
      </c>
      <c r="K90" s="2">
        <v>45922</v>
      </c>
      <c r="L90" s="2">
        <v>45923</v>
      </c>
      <c r="M90" s="1" t="s">
        <v>8327</v>
      </c>
      <c r="N90" s="1" t="s">
        <v>10817</v>
      </c>
    </row>
    <row r="91" spans="1:14" x14ac:dyDescent="0.35">
      <c r="A91" s="1" t="s">
        <v>10574</v>
      </c>
      <c r="B91" s="3" t="s">
        <v>11</v>
      </c>
      <c r="C91" s="1" t="s">
        <v>12</v>
      </c>
      <c r="D91" s="1" t="s">
        <v>10878</v>
      </c>
      <c r="E91" s="1" t="str">
        <f>"7810"</f>
        <v>7810</v>
      </c>
      <c r="F91" s="1" t="s">
        <v>10758</v>
      </c>
      <c r="G91" s="1" t="s">
        <v>10757</v>
      </c>
      <c r="H91" s="1" t="s">
        <v>15</v>
      </c>
      <c r="I91" s="3" t="str">
        <f>"0"</f>
        <v>0</v>
      </c>
      <c r="J91" s="3" t="str">
        <f>"1000"</f>
        <v>1000</v>
      </c>
      <c r="K91" s="2">
        <v>45914</v>
      </c>
      <c r="L91" s="2">
        <v>45923</v>
      </c>
      <c r="M91" s="1" t="s">
        <v>10877</v>
      </c>
      <c r="N91" s="1" t="s">
        <v>10585</v>
      </c>
    </row>
    <row r="92" spans="1:14" x14ac:dyDescent="0.35">
      <c r="A92" s="1" t="s">
        <v>10574</v>
      </c>
      <c r="B92" s="3" t="s">
        <v>2720</v>
      </c>
      <c r="C92" s="1" t="s">
        <v>2745</v>
      </c>
      <c r="D92" s="1" t="s">
        <v>10876</v>
      </c>
      <c r="E92" s="1" t="str">
        <f>"5855"</f>
        <v>5855</v>
      </c>
      <c r="F92" s="1" t="str">
        <f>"015847217"</f>
        <v>015847217</v>
      </c>
      <c r="G92" s="1" t="s">
        <v>1942</v>
      </c>
      <c r="H92" s="1" t="s">
        <v>15</v>
      </c>
      <c r="I92" s="3" t="str">
        <f>"25"</f>
        <v>25</v>
      </c>
      <c r="J92" s="3" t="str">
        <f>"35674"</f>
        <v>35674</v>
      </c>
      <c r="K92" s="2">
        <v>45920</v>
      </c>
      <c r="L92" s="2">
        <v>45922</v>
      </c>
      <c r="M92" s="1" t="s">
        <v>10875</v>
      </c>
      <c r="N92" s="1" t="s">
        <v>10874</v>
      </c>
    </row>
    <row r="93" spans="1:14" x14ac:dyDescent="0.35">
      <c r="A93" s="1" t="s">
        <v>10574</v>
      </c>
      <c r="B93" s="3" t="s">
        <v>2248</v>
      </c>
      <c r="C93" s="1" t="s">
        <v>2414</v>
      </c>
      <c r="D93" s="1" t="s">
        <v>10873</v>
      </c>
      <c r="E93" s="1" t="str">
        <f>"8465"</f>
        <v>8465</v>
      </c>
      <c r="F93" s="1" t="str">
        <f>"015472757"</f>
        <v>015472757</v>
      </c>
      <c r="G93" s="1" t="s">
        <v>5803</v>
      </c>
      <c r="H93" s="1" t="s">
        <v>15</v>
      </c>
      <c r="I93" s="3" t="str">
        <f>"15"</f>
        <v>15</v>
      </c>
      <c r="J93" s="3">
        <v>326.54000000000002</v>
      </c>
      <c r="K93" s="2">
        <v>45918</v>
      </c>
      <c r="L93" s="2">
        <v>45919</v>
      </c>
      <c r="M93" s="1" t="s">
        <v>10872</v>
      </c>
      <c r="N93" s="1" t="s">
        <v>10871</v>
      </c>
    </row>
    <row r="94" spans="1:14" x14ac:dyDescent="0.35">
      <c r="A94" s="1" t="s">
        <v>10574</v>
      </c>
      <c r="B94" s="3" t="s">
        <v>806</v>
      </c>
      <c r="C94" s="1" t="s">
        <v>994</v>
      </c>
      <c r="D94" s="1" t="s">
        <v>10870</v>
      </c>
      <c r="E94" s="1" t="str">
        <f>"2320"</f>
        <v>2320</v>
      </c>
      <c r="F94" s="1" t="str">
        <f>"015498610"</f>
        <v>015498610</v>
      </c>
      <c r="G94" s="1" t="s">
        <v>373</v>
      </c>
      <c r="H94" s="1" t="s">
        <v>15</v>
      </c>
      <c r="I94" s="3" t="str">
        <f>"1"</f>
        <v>1</v>
      </c>
      <c r="J94" s="3" t="str">
        <f>"205000"</f>
        <v>205000</v>
      </c>
      <c r="K94" s="2">
        <v>45917</v>
      </c>
      <c r="L94" s="2">
        <v>45918</v>
      </c>
      <c r="M94" s="1" t="s">
        <v>10869</v>
      </c>
      <c r="N94" s="1" t="s">
        <v>10868</v>
      </c>
    </row>
    <row r="95" spans="1:14" x14ac:dyDescent="0.35">
      <c r="A95" s="1" t="s">
        <v>10574</v>
      </c>
      <c r="B95" s="3" t="s">
        <v>2244</v>
      </c>
      <c r="C95" s="1" t="s">
        <v>2245</v>
      </c>
      <c r="D95" s="1" t="s">
        <v>10867</v>
      </c>
      <c r="E95" s="1" t="str">
        <f>"1550"</f>
        <v>1550</v>
      </c>
      <c r="F95" s="1" t="str">
        <f>"015389256"</f>
        <v>015389256</v>
      </c>
      <c r="G95" s="1" t="s">
        <v>2416</v>
      </c>
      <c r="H95" s="1" t="s">
        <v>15</v>
      </c>
      <c r="I95" s="3" t="str">
        <f>"1"</f>
        <v>1</v>
      </c>
      <c r="J95" s="3" t="str">
        <f>"100000"</f>
        <v>100000</v>
      </c>
      <c r="K95" s="2">
        <v>45915</v>
      </c>
      <c r="L95" s="2">
        <v>45918</v>
      </c>
      <c r="M95" s="1" t="s">
        <v>10866</v>
      </c>
      <c r="N95" s="1" t="s">
        <v>10865</v>
      </c>
    </row>
    <row r="96" spans="1:14" x14ac:dyDescent="0.35">
      <c r="A96" s="1" t="s">
        <v>10574</v>
      </c>
      <c r="B96" s="3" t="s">
        <v>2987</v>
      </c>
      <c r="C96" s="1" t="s">
        <v>3097</v>
      </c>
      <c r="D96" s="1" t="s">
        <v>10864</v>
      </c>
      <c r="E96" s="1" t="str">
        <f>"5855"</f>
        <v>5855</v>
      </c>
      <c r="F96" s="1" t="str">
        <f>"015847217"</f>
        <v>015847217</v>
      </c>
      <c r="G96" s="1" t="s">
        <v>1942</v>
      </c>
      <c r="H96" s="1" t="s">
        <v>15</v>
      </c>
      <c r="I96" s="3" t="str">
        <f>"10"</f>
        <v>10</v>
      </c>
      <c r="J96" s="3" t="str">
        <f>"35674"</f>
        <v>35674</v>
      </c>
      <c r="K96" s="2">
        <v>45917</v>
      </c>
      <c r="L96" s="2">
        <v>45917</v>
      </c>
      <c r="M96" s="1" t="s">
        <v>10863</v>
      </c>
    </row>
    <row r="97" spans="1:14" x14ac:dyDescent="0.35">
      <c r="A97" s="1" t="s">
        <v>10574</v>
      </c>
      <c r="B97" s="3" t="s">
        <v>2248</v>
      </c>
      <c r="C97" s="1" t="s">
        <v>6229</v>
      </c>
      <c r="D97" s="1" t="s">
        <v>10862</v>
      </c>
      <c r="E97" s="1" t="str">
        <f>"2320"</f>
        <v>2320</v>
      </c>
      <c r="F97" s="1" t="str">
        <f>"015402007"</f>
        <v>015402007</v>
      </c>
      <c r="G97" s="1" t="s">
        <v>604</v>
      </c>
      <c r="H97" s="1" t="s">
        <v>15</v>
      </c>
      <c r="I97" s="3" t="str">
        <f>"1"</f>
        <v>1</v>
      </c>
      <c r="J97" s="3" t="str">
        <f>"181463"</f>
        <v>181463</v>
      </c>
      <c r="K97" s="2">
        <v>45914</v>
      </c>
      <c r="L97" s="2">
        <v>45917</v>
      </c>
      <c r="M97" s="1" t="s">
        <v>10861</v>
      </c>
      <c r="N97" s="1" t="s">
        <v>10838</v>
      </c>
    </row>
    <row r="98" spans="1:14" x14ac:dyDescent="0.35">
      <c r="A98" s="1" t="s">
        <v>10574</v>
      </c>
      <c r="B98" s="3" t="s">
        <v>93</v>
      </c>
      <c r="C98" s="1" t="s">
        <v>565</v>
      </c>
      <c r="D98" s="1" t="s">
        <v>10860</v>
      </c>
      <c r="E98" s="1" t="str">
        <f>"7195"</f>
        <v>7195</v>
      </c>
      <c r="F98" s="1" t="s">
        <v>10859</v>
      </c>
      <c r="G98" s="1" t="s">
        <v>10858</v>
      </c>
      <c r="H98" s="1" t="s">
        <v>15</v>
      </c>
      <c r="I98" s="3" t="str">
        <f>"1"</f>
        <v>1</v>
      </c>
      <c r="J98" s="3" t="str">
        <f>"30"</f>
        <v>30</v>
      </c>
      <c r="K98" s="2">
        <v>45913</v>
      </c>
      <c r="L98" s="2">
        <v>45916</v>
      </c>
      <c r="M98" s="1" t="s">
        <v>10857</v>
      </c>
      <c r="N98" s="1" t="s">
        <v>10856</v>
      </c>
    </row>
    <row r="99" spans="1:14" x14ac:dyDescent="0.35">
      <c r="A99" s="1" t="s">
        <v>10574</v>
      </c>
      <c r="B99" s="3" t="s">
        <v>93</v>
      </c>
      <c r="C99" s="1" t="s">
        <v>565</v>
      </c>
      <c r="D99" s="1" t="s">
        <v>10855</v>
      </c>
      <c r="E99" s="1" t="str">
        <f>"3830"</f>
        <v>3830</v>
      </c>
      <c r="F99" s="1" t="s">
        <v>2288</v>
      </c>
      <c r="G99" s="1" t="s">
        <v>2289</v>
      </c>
      <c r="H99" s="1" t="s">
        <v>15</v>
      </c>
      <c r="I99" s="3" t="str">
        <f>"2"</f>
        <v>2</v>
      </c>
      <c r="J99" s="3" t="str">
        <f>"100"</f>
        <v>100</v>
      </c>
      <c r="K99" s="2">
        <v>45913</v>
      </c>
      <c r="L99" s="2">
        <v>45916</v>
      </c>
      <c r="M99" s="1" t="s">
        <v>10854</v>
      </c>
      <c r="N99" s="1" t="s">
        <v>10853</v>
      </c>
    </row>
    <row r="100" spans="1:14" x14ac:dyDescent="0.35">
      <c r="A100" s="1" t="s">
        <v>10574</v>
      </c>
      <c r="B100" s="3" t="s">
        <v>2248</v>
      </c>
      <c r="C100" s="1" t="s">
        <v>10852</v>
      </c>
      <c r="D100" s="1" t="s">
        <v>10851</v>
      </c>
      <c r="E100" s="1" t="str">
        <f>"2320"</f>
        <v>2320</v>
      </c>
      <c r="F100" s="1" t="s">
        <v>321</v>
      </c>
      <c r="G100" s="1" t="s">
        <v>322</v>
      </c>
      <c r="H100" s="1" t="s">
        <v>15</v>
      </c>
      <c r="I100" s="3" t="str">
        <f>"1"</f>
        <v>1</v>
      </c>
      <c r="J100" s="3" t="str">
        <f>"91000"</f>
        <v>91000</v>
      </c>
      <c r="K100" s="2">
        <v>45915</v>
      </c>
      <c r="L100" s="2">
        <v>45915</v>
      </c>
      <c r="M100" s="1" t="s">
        <v>10850</v>
      </c>
    </row>
    <row r="101" spans="1:14" x14ac:dyDescent="0.35">
      <c r="A101" s="1" t="s">
        <v>10574</v>
      </c>
      <c r="B101" s="3" t="s">
        <v>2720</v>
      </c>
      <c r="C101" s="1" t="s">
        <v>2745</v>
      </c>
      <c r="D101" s="1" t="s">
        <v>10849</v>
      </c>
      <c r="E101" s="1" t="str">
        <f>"5855"</f>
        <v>5855</v>
      </c>
      <c r="F101" s="1" t="str">
        <f>"015847217"</f>
        <v>015847217</v>
      </c>
      <c r="G101" s="1" t="s">
        <v>1942</v>
      </c>
      <c r="H101" s="1" t="s">
        <v>15</v>
      </c>
      <c r="I101" s="3" t="str">
        <f>"25"</f>
        <v>25</v>
      </c>
      <c r="J101" s="3" t="str">
        <f>"35674"</f>
        <v>35674</v>
      </c>
      <c r="K101" s="2">
        <v>45913</v>
      </c>
      <c r="L101" s="2">
        <v>45915</v>
      </c>
      <c r="M101" s="1" t="s">
        <v>10848</v>
      </c>
      <c r="N101" s="1" t="s">
        <v>10817</v>
      </c>
    </row>
    <row r="102" spans="1:14" x14ac:dyDescent="0.35">
      <c r="A102" s="1" t="s">
        <v>10574</v>
      </c>
      <c r="B102" s="3" t="s">
        <v>2720</v>
      </c>
      <c r="C102" s="1" t="s">
        <v>2828</v>
      </c>
      <c r="D102" s="1" t="s">
        <v>10847</v>
      </c>
      <c r="E102" s="1" t="str">
        <f>"8405"</f>
        <v>8405</v>
      </c>
      <c r="F102" s="1" t="str">
        <f>"015472555"</f>
        <v>015472555</v>
      </c>
      <c r="G102" s="1" t="s">
        <v>2863</v>
      </c>
      <c r="H102" s="1" t="s">
        <v>15</v>
      </c>
      <c r="I102" s="3" t="str">
        <f>"30"</f>
        <v>30</v>
      </c>
      <c r="J102" s="3">
        <v>65.52</v>
      </c>
      <c r="K102" s="2">
        <v>45913</v>
      </c>
      <c r="L102" s="2">
        <v>45915</v>
      </c>
      <c r="M102" s="1" t="s">
        <v>10846</v>
      </c>
      <c r="N102" s="1" t="s">
        <v>10585</v>
      </c>
    </row>
    <row r="103" spans="1:14" x14ac:dyDescent="0.35">
      <c r="A103" s="1" t="s">
        <v>10574</v>
      </c>
      <c r="B103" s="3" t="s">
        <v>2720</v>
      </c>
      <c r="C103" s="1" t="s">
        <v>2828</v>
      </c>
      <c r="D103" s="1" t="s">
        <v>10845</v>
      </c>
      <c r="E103" s="1" t="str">
        <f>"7021"</f>
        <v>7021</v>
      </c>
      <c r="F103" s="1" t="s">
        <v>7940</v>
      </c>
      <c r="G103" s="1" t="s">
        <v>7939</v>
      </c>
      <c r="H103" s="1" t="s">
        <v>15</v>
      </c>
      <c r="I103" s="3" t="str">
        <f>"7"</f>
        <v>7</v>
      </c>
      <c r="J103" s="3" t="str">
        <f>"500"</f>
        <v>500</v>
      </c>
      <c r="K103" s="2">
        <v>45913</v>
      </c>
      <c r="L103" s="2">
        <v>45915</v>
      </c>
      <c r="M103" s="1" t="s">
        <v>10844</v>
      </c>
      <c r="N103" s="1" t="s">
        <v>10585</v>
      </c>
    </row>
    <row r="104" spans="1:14" x14ac:dyDescent="0.35">
      <c r="A104" s="1" t="s">
        <v>10574</v>
      </c>
      <c r="B104" s="3" t="s">
        <v>2248</v>
      </c>
      <c r="C104" s="1" t="s">
        <v>2375</v>
      </c>
      <c r="D104" s="1" t="s">
        <v>10843</v>
      </c>
      <c r="E104" s="1" t="str">
        <f>"2320"</f>
        <v>2320</v>
      </c>
      <c r="F104" s="1" t="s">
        <v>321</v>
      </c>
      <c r="G104" s="1" t="s">
        <v>322</v>
      </c>
      <c r="H104" s="1" t="s">
        <v>15</v>
      </c>
      <c r="I104" s="3" t="str">
        <f>"1"</f>
        <v>1</v>
      </c>
      <c r="J104" s="3" t="str">
        <f>"50000"</f>
        <v>50000</v>
      </c>
      <c r="K104" s="2">
        <v>45912</v>
      </c>
      <c r="L104" s="2">
        <v>45915</v>
      </c>
      <c r="M104" s="1" t="s">
        <v>10842</v>
      </c>
      <c r="N104" s="1" t="s">
        <v>10585</v>
      </c>
    </row>
    <row r="105" spans="1:14" x14ac:dyDescent="0.35">
      <c r="A105" s="1" t="s">
        <v>10574</v>
      </c>
      <c r="B105" s="3" t="s">
        <v>1848</v>
      </c>
      <c r="C105" s="1" t="s">
        <v>10841</v>
      </c>
      <c r="D105" s="1" t="s">
        <v>10840</v>
      </c>
      <c r="E105" s="1" t="str">
        <f>"2320"</f>
        <v>2320</v>
      </c>
      <c r="F105" s="1" t="str">
        <f>"015402007"</f>
        <v>015402007</v>
      </c>
      <c r="G105" s="1" t="s">
        <v>604</v>
      </c>
      <c r="H105" s="1" t="s">
        <v>15</v>
      </c>
      <c r="I105" s="3" t="str">
        <f>"1"</f>
        <v>1</v>
      </c>
      <c r="J105" s="3" t="str">
        <f>"181463"</f>
        <v>181463</v>
      </c>
      <c r="K105" s="2">
        <v>45909</v>
      </c>
      <c r="L105" s="2">
        <v>45915</v>
      </c>
      <c r="M105" s="1" t="s">
        <v>10839</v>
      </c>
      <c r="N105" s="1" t="s">
        <v>10838</v>
      </c>
    </row>
    <row r="106" spans="1:14" x14ac:dyDescent="0.35">
      <c r="A106" s="1" t="s">
        <v>10574</v>
      </c>
      <c r="B106" s="3" t="s">
        <v>2114</v>
      </c>
      <c r="C106" s="1" t="s">
        <v>9243</v>
      </c>
      <c r="D106" s="1" t="s">
        <v>10837</v>
      </c>
      <c r="E106" s="1" t="str">
        <f>"5860"</f>
        <v>5860</v>
      </c>
      <c r="F106" s="1" t="str">
        <f>"015648167"</f>
        <v>015648167</v>
      </c>
      <c r="G106" s="1" t="s">
        <v>1515</v>
      </c>
      <c r="H106" s="1" t="s">
        <v>15</v>
      </c>
      <c r="I106" s="3" t="str">
        <f>"18"</f>
        <v>18</v>
      </c>
      <c r="J106" s="3" t="str">
        <f>"1445"</f>
        <v>1445</v>
      </c>
      <c r="K106" s="2">
        <v>45910</v>
      </c>
      <c r="L106" s="2">
        <v>45912</v>
      </c>
      <c r="M106" s="1" t="s">
        <v>10836</v>
      </c>
      <c r="N106" s="1" t="s">
        <v>10835</v>
      </c>
    </row>
    <row r="107" spans="1:14" x14ac:dyDescent="0.35">
      <c r="A107" s="1" t="s">
        <v>10574</v>
      </c>
      <c r="B107" s="3" t="s">
        <v>2114</v>
      </c>
      <c r="C107" s="1" t="s">
        <v>9243</v>
      </c>
      <c r="D107" s="1" t="s">
        <v>10834</v>
      </c>
      <c r="E107" s="1" t="str">
        <f>"5855"</f>
        <v>5855</v>
      </c>
      <c r="F107" s="1" t="s">
        <v>2918</v>
      </c>
      <c r="G107" s="1" t="s">
        <v>2919</v>
      </c>
      <c r="H107" s="1" t="s">
        <v>15</v>
      </c>
      <c r="I107" s="3" t="str">
        <f>"9"</f>
        <v>9</v>
      </c>
      <c r="J107" s="3" t="str">
        <f>"5000"</f>
        <v>5000</v>
      </c>
      <c r="K107" s="2">
        <v>45910</v>
      </c>
      <c r="L107" s="2">
        <v>45912</v>
      </c>
      <c r="M107" s="1" t="s">
        <v>10833</v>
      </c>
    </row>
    <row r="108" spans="1:14" x14ac:dyDescent="0.35">
      <c r="A108" s="1" t="s">
        <v>10574</v>
      </c>
      <c r="B108" s="3" t="s">
        <v>3879</v>
      </c>
      <c r="C108" s="1" t="s">
        <v>5072</v>
      </c>
      <c r="D108" s="1" t="s">
        <v>10832</v>
      </c>
      <c r="E108" s="1" t="str">
        <f>"5855"</f>
        <v>5855</v>
      </c>
      <c r="F108" s="1" t="str">
        <f>"016800712"</f>
        <v>016800712</v>
      </c>
      <c r="G108" s="1" t="s">
        <v>2467</v>
      </c>
      <c r="H108" s="1" t="s">
        <v>15</v>
      </c>
      <c r="I108" s="3" t="str">
        <f>"48"</f>
        <v>48</v>
      </c>
      <c r="J108" s="3" t="str">
        <f>"3000"</f>
        <v>3000</v>
      </c>
      <c r="K108" s="2">
        <v>45910</v>
      </c>
      <c r="L108" s="2">
        <v>45912</v>
      </c>
      <c r="M108" s="1" t="s">
        <v>7427</v>
      </c>
      <c r="N108" s="1" t="s">
        <v>10608</v>
      </c>
    </row>
    <row r="109" spans="1:14" x14ac:dyDescent="0.35">
      <c r="A109" s="1" t="s">
        <v>10574</v>
      </c>
      <c r="B109" s="3" t="s">
        <v>1317</v>
      </c>
      <c r="C109" s="1" t="s">
        <v>1318</v>
      </c>
      <c r="D109" s="1" t="s">
        <v>10831</v>
      </c>
      <c r="E109" s="1" t="str">
        <f>"4210"</f>
        <v>4210</v>
      </c>
      <c r="F109" s="1" t="str">
        <f>"011379944"</f>
        <v>011379944</v>
      </c>
      <c r="G109" s="1" t="s">
        <v>6901</v>
      </c>
      <c r="H109" s="1" t="s">
        <v>15</v>
      </c>
      <c r="I109" s="3" t="str">
        <f>"1"</f>
        <v>1</v>
      </c>
      <c r="J109" s="3">
        <v>172170.68</v>
      </c>
      <c r="K109" s="2">
        <v>45911</v>
      </c>
      <c r="L109" s="2">
        <v>45911</v>
      </c>
      <c r="M109" s="1" t="s">
        <v>10830</v>
      </c>
      <c r="N109" s="1" t="s">
        <v>10829</v>
      </c>
    </row>
    <row r="110" spans="1:14" x14ac:dyDescent="0.35">
      <c r="A110" s="1" t="s">
        <v>10574</v>
      </c>
      <c r="B110" s="3" t="s">
        <v>4087</v>
      </c>
      <c r="C110" s="1" t="s">
        <v>4143</v>
      </c>
      <c r="D110" s="1" t="s">
        <v>10828</v>
      </c>
      <c r="E110" s="1" t="str">
        <f>"7025"</f>
        <v>7025</v>
      </c>
      <c r="F110" s="1" t="s">
        <v>10621</v>
      </c>
      <c r="G110" s="1" t="s">
        <v>10620</v>
      </c>
      <c r="H110" s="1" t="s">
        <v>15</v>
      </c>
      <c r="I110" s="3" t="str">
        <f>"1"</f>
        <v>1</v>
      </c>
      <c r="J110" s="3" t="str">
        <f>"390"</f>
        <v>390</v>
      </c>
      <c r="K110" s="2">
        <v>45911</v>
      </c>
      <c r="L110" s="2">
        <v>45911</v>
      </c>
      <c r="M110" s="1" t="s">
        <v>9438</v>
      </c>
    </row>
    <row r="111" spans="1:14" x14ac:dyDescent="0.35">
      <c r="A111" s="1" t="s">
        <v>10574</v>
      </c>
      <c r="B111" s="3" t="s">
        <v>4284</v>
      </c>
      <c r="C111" s="1" t="s">
        <v>10827</v>
      </c>
      <c r="D111" s="1" t="s">
        <v>10826</v>
      </c>
      <c r="E111" s="1" t="str">
        <f>"3750"</f>
        <v>3750</v>
      </c>
      <c r="F111" s="1" t="s">
        <v>392</v>
      </c>
      <c r="G111" s="1" t="s">
        <v>393</v>
      </c>
      <c r="H111" s="1" t="s">
        <v>15</v>
      </c>
      <c r="I111" s="3" t="str">
        <f>"1"</f>
        <v>1</v>
      </c>
      <c r="J111" s="3" t="str">
        <f>"5549"</f>
        <v>5549</v>
      </c>
      <c r="K111" s="2">
        <v>45905</v>
      </c>
      <c r="L111" s="2">
        <v>45908</v>
      </c>
      <c r="M111" s="1" t="s">
        <v>10825</v>
      </c>
      <c r="N111" s="1" t="s">
        <v>10824</v>
      </c>
    </row>
    <row r="112" spans="1:14" x14ac:dyDescent="0.35">
      <c r="A112" s="1" t="s">
        <v>10574</v>
      </c>
      <c r="B112" s="3" t="s">
        <v>2638</v>
      </c>
      <c r="C112" s="1" t="s">
        <v>10823</v>
      </c>
      <c r="D112" s="1" t="s">
        <v>10822</v>
      </c>
      <c r="E112" s="1" t="str">
        <f>"2320"</f>
        <v>2320</v>
      </c>
      <c r="F112" s="1" t="str">
        <f>"014476343"</f>
        <v>014476343</v>
      </c>
      <c r="G112" s="1" t="s">
        <v>373</v>
      </c>
      <c r="H112" s="1" t="s">
        <v>15</v>
      </c>
      <c r="I112" s="3" t="str">
        <f>"1"</f>
        <v>1</v>
      </c>
      <c r="J112" s="3" t="str">
        <f>"176428"</f>
        <v>176428</v>
      </c>
      <c r="K112" s="2">
        <v>45905</v>
      </c>
      <c r="L112" s="2">
        <v>45908</v>
      </c>
      <c r="M112" s="1" t="s">
        <v>10821</v>
      </c>
      <c r="N112" s="1" t="s">
        <v>10820</v>
      </c>
    </row>
    <row r="113" spans="1:14" x14ac:dyDescent="0.35">
      <c r="A113" s="1" t="s">
        <v>10574</v>
      </c>
      <c r="B113" s="3" t="s">
        <v>1844</v>
      </c>
      <c r="C113" s="1" t="s">
        <v>7839</v>
      </c>
      <c r="D113" s="1" t="s">
        <v>10819</v>
      </c>
      <c r="E113" s="1" t="str">
        <f>"5855"</f>
        <v>5855</v>
      </c>
      <c r="F113" s="1" t="str">
        <f>"015847217"</f>
        <v>015847217</v>
      </c>
      <c r="G113" s="1" t="s">
        <v>1942</v>
      </c>
      <c r="H113" s="1" t="s">
        <v>15</v>
      </c>
      <c r="I113" s="3" t="str">
        <f>"2"</f>
        <v>2</v>
      </c>
      <c r="J113" s="3" t="str">
        <f>"35674"</f>
        <v>35674</v>
      </c>
      <c r="K113" s="2">
        <v>45902</v>
      </c>
      <c r="L113" s="2">
        <v>45904</v>
      </c>
      <c r="M113" s="1" t="s">
        <v>10818</v>
      </c>
      <c r="N113" s="1" t="s">
        <v>10817</v>
      </c>
    </row>
    <row r="114" spans="1:14" x14ac:dyDescent="0.35">
      <c r="A114" s="1" t="s">
        <v>10574</v>
      </c>
      <c r="B114" s="3" t="s">
        <v>2145</v>
      </c>
      <c r="C114" s="1" t="s">
        <v>2153</v>
      </c>
      <c r="D114" s="1" t="s">
        <v>10816</v>
      </c>
      <c r="E114" s="1" t="str">
        <f>"5855"</f>
        <v>5855</v>
      </c>
      <c r="F114" s="1" t="str">
        <f>"015847217"</f>
        <v>015847217</v>
      </c>
      <c r="G114" s="1" t="s">
        <v>1942</v>
      </c>
      <c r="H114" s="1" t="s">
        <v>15</v>
      </c>
      <c r="I114" s="3" t="str">
        <f>"30"</f>
        <v>30</v>
      </c>
      <c r="J114" s="3" t="str">
        <f>"35674"</f>
        <v>35674</v>
      </c>
      <c r="K114" s="2">
        <v>45902</v>
      </c>
      <c r="L114" s="2">
        <v>45903</v>
      </c>
      <c r="M114" s="1" t="s">
        <v>10815</v>
      </c>
    </row>
    <row r="115" spans="1:14" x14ac:dyDescent="0.35">
      <c r="A115" s="1" t="s">
        <v>10574</v>
      </c>
      <c r="B115" s="3" t="s">
        <v>4087</v>
      </c>
      <c r="C115" s="1" t="s">
        <v>4143</v>
      </c>
      <c r="D115" s="1" t="s">
        <v>10814</v>
      </c>
      <c r="E115" s="1" t="str">
        <f>"6230"</f>
        <v>6230</v>
      </c>
      <c r="F115" s="1" t="str">
        <f>"015912511"</f>
        <v>015912511</v>
      </c>
      <c r="G115" s="1" t="s">
        <v>538</v>
      </c>
      <c r="H115" s="1" t="s">
        <v>15</v>
      </c>
      <c r="I115" s="3" t="str">
        <f>"10"</f>
        <v>10</v>
      </c>
      <c r="J115" s="3">
        <v>484.22</v>
      </c>
      <c r="K115" s="2">
        <v>45902</v>
      </c>
      <c r="L115" s="2">
        <v>45902</v>
      </c>
      <c r="M115" s="1" t="s">
        <v>10813</v>
      </c>
    </row>
    <row r="116" spans="1:14" x14ac:dyDescent="0.35">
      <c r="A116" s="1" t="s">
        <v>10574</v>
      </c>
      <c r="B116" s="3" t="s">
        <v>4087</v>
      </c>
      <c r="C116" s="1" t="s">
        <v>4121</v>
      </c>
      <c r="D116" s="1" t="s">
        <v>10812</v>
      </c>
      <c r="E116" s="1" t="str">
        <f>"8465"</f>
        <v>8465</v>
      </c>
      <c r="F116" s="1" t="s">
        <v>2516</v>
      </c>
      <c r="G116" s="1" t="s">
        <v>2517</v>
      </c>
      <c r="H116" s="1" t="s">
        <v>15</v>
      </c>
      <c r="I116" s="3" t="str">
        <f>"3"</f>
        <v>3</v>
      </c>
      <c r="J116" s="3">
        <v>599.99</v>
      </c>
      <c r="K116" s="2">
        <v>45896</v>
      </c>
      <c r="L116" s="2">
        <v>45898</v>
      </c>
      <c r="M116" s="1" t="s">
        <v>10811</v>
      </c>
      <c r="N116" s="1" t="s">
        <v>10585</v>
      </c>
    </row>
    <row r="117" spans="1:14" x14ac:dyDescent="0.35">
      <c r="A117" s="1" t="s">
        <v>10574</v>
      </c>
      <c r="B117" s="3" t="s">
        <v>806</v>
      </c>
      <c r="C117" s="1" t="s">
        <v>866</v>
      </c>
      <c r="D117" s="1" t="s">
        <v>10810</v>
      </c>
      <c r="E117" s="1" t="str">
        <f>"6230"</f>
        <v>6230</v>
      </c>
      <c r="F117" s="1" t="str">
        <f>"015902739"</f>
        <v>015902739</v>
      </c>
      <c r="G117" s="1" t="s">
        <v>7083</v>
      </c>
      <c r="H117" s="1" t="s">
        <v>15</v>
      </c>
      <c r="I117" s="3" t="str">
        <f>"6"</f>
        <v>6</v>
      </c>
      <c r="J117" s="3">
        <v>304.62</v>
      </c>
      <c r="K117" s="2">
        <v>45887</v>
      </c>
      <c r="L117" s="2">
        <v>45897</v>
      </c>
      <c r="M117" s="1" t="s">
        <v>7434</v>
      </c>
      <c r="N117" s="1" t="s">
        <v>10808</v>
      </c>
    </row>
    <row r="118" spans="1:14" x14ac:dyDescent="0.35">
      <c r="A118" s="1" t="s">
        <v>10574</v>
      </c>
      <c r="B118" s="3" t="s">
        <v>806</v>
      </c>
      <c r="C118" s="1" t="s">
        <v>866</v>
      </c>
      <c r="D118" s="1" t="s">
        <v>10809</v>
      </c>
      <c r="E118" s="1" t="str">
        <f>"8465"</f>
        <v>8465</v>
      </c>
      <c r="F118" s="1" t="str">
        <f>"016408200"</f>
        <v>016408200</v>
      </c>
      <c r="G118" s="1" t="s">
        <v>2060</v>
      </c>
      <c r="H118" s="1" t="s">
        <v>15</v>
      </c>
      <c r="I118" s="3" t="str">
        <f>"3"</f>
        <v>3</v>
      </c>
      <c r="J118" s="3">
        <v>263.8</v>
      </c>
      <c r="K118" s="2">
        <v>45881</v>
      </c>
      <c r="L118" s="2">
        <v>45897</v>
      </c>
      <c r="M118" s="1" t="s">
        <v>7188</v>
      </c>
      <c r="N118" s="1" t="s">
        <v>10808</v>
      </c>
    </row>
    <row r="119" spans="1:14" x14ac:dyDescent="0.35">
      <c r="A119" s="1" t="s">
        <v>10574</v>
      </c>
      <c r="B119" s="3" t="s">
        <v>1445</v>
      </c>
      <c r="C119" s="1" t="s">
        <v>1629</v>
      </c>
      <c r="D119" s="1" t="s">
        <v>10807</v>
      </c>
      <c r="E119" s="1" t="str">
        <f>"8105"</f>
        <v>8105</v>
      </c>
      <c r="F119" s="1" t="str">
        <f>"001429345"</f>
        <v>001429345</v>
      </c>
      <c r="G119" s="1" t="s">
        <v>1656</v>
      </c>
      <c r="H119" s="1" t="s">
        <v>1657</v>
      </c>
      <c r="I119" s="3" t="str">
        <f>"52"</f>
        <v>52</v>
      </c>
      <c r="J119" s="3">
        <v>74.75</v>
      </c>
      <c r="K119" s="2">
        <v>45895</v>
      </c>
      <c r="L119" s="2">
        <v>45895</v>
      </c>
      <c r="M119" s="1" t="s">
        <v>1658</v>
      </c>
      <c r="N119" s="1" t="s">
        <v>10803</v>
      </c>
    </row>
    <row r="120" spans="1:14" x14ac:dyDescent="0.35">
      <c r="A120" s="1" t="s">
        <v>10574</v>
      </c>
      <c r="B120" s="3" t="s">
        <v>1445</v>
      </c>
      <c r="C120" s="1" t="s">
        <v>1629</v>
      </c>
      <c r="D120" s="1" t="s">
        <v>10806</v>
      </c>
      <c r="E120" s="1" t="str">
        <f>"8105"</f>
        <v>8105</v>
      </c>
      <c r="F120" s="1" t="str">
        <f>"001429345"</f>
        <v>001429345</v>
      </c>
      <c r="G120" s="1" t="s">
        <v>1656</v>
      </c>
      <c r="H120" s="1" t="s">
        <v>1657</v>
      </c>
      <c r="I120" s="3" t="str">
        <f>"52"</f>
        <v>52</v>
      </c>
      <c r="J120" s="3">
        <v>74.75</v>
      </c>
      <c r="K120" s="2">
        <v>45895</v>
      </c>
      <c r="L120" s="2">
        <v>45895</v>
      </c>
      <c r="M120" s="1" t="s">
        <v>1658</v>
      </c>
      <c r="N120" s="1" t="s">
        <v>10803</v>
      </c>
    </row>
    <row r="121" spans="1:14" x14ac:dyDescent="0.35">
      <c r="A121" s="1" t="s">
        <v>10574</v>
      </c>
      <c r="B121" s="3" t="s">
        <v>1445</v>
      </c>
      <c r="C121" s="1" t="s">
        <v>1629</v>
      </c>
      <c r="D121" s="1" t="s">
        <v>10805</v>
      </c>
      <c r="E121" s="1" t="str">
        <f>"8105"</f>
        <v>8105</v>
      </c>
      <c r="F121" s="1" t="str">
        <f>"001429345"</f>
        <v>001429345</v>
      </c>
      <c r="G121" s="1" t="s">
        <v>1656</v>
      </c>
      <c r="H121" s="1" t="s">
        <v>1657</v>
      </c>
      <c r="I121" s="3" t="str">
        <f>"52"</f>
        <v>52</v>
      </c>
      <c r="J121" s="3">
        <v>74.75</v>
      </c>
      <c r="K121" s="2">
        <v>45895</v>
      </c>
      <c r="L121" s="2">
        <v>45895</v>
      </c>
      <c r="M121" s="1" t="s">
        <v>1658</v>
      </c>
      <c r="N121" s="1" t="s">
        <v>10803</v>
      </c>
    </row>
    <row r="122" spans="1:14" x14ac:dyDescent="0.35">
      <c r="A122" s="1" t="s">
        <v>10574</v>
      </c>
      <c r="B122" s="3" t="s">
        <v>1445</v>
      </c>
      <c r="C122" s="1" t="s">
        <v>1629</v>
      </c>
      <c r="D122" s="1" t="s">
        <v>10804</v>
      </c>
      <c r="E122" s="1" t="str">
        <f>"8105"</f>
        <v>8105</v>
      </c>
      <c r="F122" s="1" t="str">
        <f>"001429345"</f>
        <v>001429345</v>
      </c>
      <c r="G122" s="1" t="s">
        <v>1656</v>
      </c>
      <c r="H122" s="1" t="s">
        <v>1657</v>
      </c>
      <c r="I122" s="3" t="str">
        <f>"52"</f>
        <v>52</v>
      </c>
      <c r="J122" s="3">
        <v>74.75</v>
      </c>
      <c r="K122" s="2">
        <v>45895</v>
      </c>
      <c r="L122" s="2">
        <v>45895</v>
      </c>
      <c r="M122" s="1" t="s">
        <v>1658</v>
      </c>
      <c r="N122" s="1" t="s">
        <v>10803</v>
      </c>
    </row>
    <row r="123" spans="1:14" x14ac:dyDescent="0.35">
      <c r="A123" s="1" t="s">
        <v>10574</v>
      </c>
      <c r="B123" s="3" t="s">
        <v>4253</v>
      </c>
      <c r="C123" s="1" t="s">
        <v>4271</v>
      </c>
      <c r="D123" s="1" t="s">
        <v>10802</v>
      </c>
      <c r="E123" s="1" t="str">
        <f>"6260"</f>
        <v>6260</v>
      </c>
      <c r="F123" s="1" t="str">
        <f>"012094434"</f>
        <v>012094434</v>
      </c>
      <c r="G123" s="1" t="s">
        <v>657</v>
      </c>
      <c r="H123" s="1" t="s">
        <v>290</v>
      </c>
      <c r="I123" s="3" t="str">
        <f>"43"</f>
        <v>43</v>
      </c>
      <c r="J123" s="3">
        <v>63.7</v>
      </c>
      <c r="K123" s="2">
        <v>45889</v>
      </c>
      <c r="L123" s="2">
        <v>45895</v>
      </c>
      <c r="M123" s="1" t="s">
        <v>10801</v>
      </c>
      <c r="N123" s="1" t="s">
        <v>10788</v>
      </c>
    </row>
    <row r="124" spans="1:14" x14ac:dyDescent="0.35">
      <c r="A124" s="1" t="s">
        <v>10574</v>
      </c>
      <c r="B124" s="3" t="s">
        <v>1407</v>
      </c>
      <c r="C124" s="1" t="s">
        <v>1420</v>
      </c>
      <c r="D124" s="1" t="s">
        <v>10800</v>
      </c>
      <c r="E124" s="1" t="str">
        <f>"8405"</f>
        <v>8405</v>
      </c>
      <c r="F124" s="1" t="str">
        <f>"015472555"</f>
        <v>015472555</v>
      </c>
      <c r="G124" s="1" t="s">
        <v>2863</v>
      </c>
      <c r="H124" s="1" t="s">
        <v>15</v>
      </c>
      <c r="I124" s="3" t="str">
        <f>"10"</f>
        <v>10</v>
      </c>
      <c r="J124" s="3">
        <v>65.52</v>
      </c>
      <c r="K124" s="2">
        <v>45887</v>
      </c>
      <c r="L124" s="2">
        <v>45895</v>
      </c>
      <c r="M124" s="1" t="s">
        <v>7513</v>
      </c>
      <c r="N124" s="1" t="s">
        <v>10788</v>
      </c>
    </row>
    <row r="125" spans="1:14" x14ac:dyDescent="0.35">
      <c r="A125" s="1" t="s">
        <v>10574</v>
      </c>
      <c r="B125" s="3" t="s">
        <v>1407</v>
      </c>
      <c r="C125" s="1" t="s">
        <v>1420</v>
      </c>
      <c r="D125" s="1" t="s">
        <v>10799</v>
      </c>
      <c r="E125" s="1" t="str">
        <f>"8405"</f>
        <v>8405</v>
      </c>
      <c r="F125" s="1" t="str">
        <f>"015472555"</f>
        <v>015472555</v>
      </c>
      <c r="G125" s="1" t="s">
        <v>2863</v>
      </c>
      <c r="H125" s="1" t="s">
        <v>15</v>
      </c>
      <c r="I125" s="3" t="str">
        <f>"6"</f>
        <v>6</v>
      </c>
      <c r="J125" s="3">
        <v>65.52</v>
      </c>
      <c r="K125" s="2">
        <v>45887</v>
      </c>
      <c r="L125" s="2">
        <v>45895</v>
      </c>
      <c r="M125" s="1" t="s">
        <v>7513</v>
      </c>
      <c r="N125" s="1" t="s">
        <v>10788</v>
      </c>
    </row>
    <row r="126" spans="1:14" x14ac:dyDescent="0.35">
      <c r="A126" s="1" t="s">
        <v>10574</v>
      </c>
      <c r="B126" s="3" t="s">
        <v>1407</v>
      </c>
      <c r="C126" s="1" t="s">
        <v>1420</v>
      </c>
      <c r="D126" s="1" t="s">
        <v>10798</v>
      </c>
      <c r="E126" s="1" t="str">
        <f>"8405"</f>
        <v>8405</v>
      </c>
      <c r="F126" s="1" t="str">
        <f>"015472555"</f>
        <v>015472555</v>
      </c>
      <c r="G126" s="1" t="s">
        <v>2863</v>
      </c>
      <c r="H126" s="1" t="s">
        <v>15</v>
      </c>
      <c r="I126" s="3" t="str">
        <f>"10"</f>
        <v>10</v>
      </c>
      <c r="J126" s="3">
        <v>65.52</v>
      </c>
      <c r="K126" s="2">
        <v>45887</v>
      </c>
      <c r="L126" s="2">
        <v>45895</v>
      </c>
      <c r="M126" s="1" t="s">
        <v>7513</v>
      </c>
      <c r="N126" s="1" t="s">
        <v>10788</v>
      </c>
    </row>
    <row r="127" spans="1:14" x14ac:dyDescent="0.35">
      <c r="A127" s="1" t="s">
        <v>10574</v>
      </c>
      <c r="B127" s="3" t="s">
        <v>1407</v>
      </c>
      <c r="C127" s="1" t="s">
        <v>1420</v>
      </c>
      <c r="D127" s="1" t="s">
        <v>10797</v>
      </c>
      <c r="E127" s="1" t="str">
        <f>"8430"</f>
        <v>8430</v>
      </c>
      <c r="F127" s="1" t="str">
        <f>"016758660"</f>
        <v>016758660</v>
      </c>
      <c r="G127" s="1" t="s">
        <v>1431</v>
      </c>
      <c r="H127" s="1" t="s">
        <v>847</v>
      </c>
      <c r="I127" s="3" t="str">
        <f>"3"</f>
        <v>3</v>
      </c>
      <c r="J127" s="3">
        <v>160.11000000000001</v>
      </c>
      <c r="K127" s="2">
        <v>45882</v>
      </c>
      <c r="L127" s="2">
        <v>45895</v>
      </c>
      <c r="M127" s="1" t="s">
        <v>10796</v>
      </c>
      <c r="N127" s="1" t="s">
        <v>10790</v>
      </c>
    </row>
    <row r="128" spans="1:14" x14ac:dyDescent="0.35">
      <c r="A128" s="1" t="s">
        <v>10574</v>
      </c>
      <c r="B128" s="3" t="s">
        <v>1407</v>
      </c>
      <c r="C128" s="1" t="s">
        <v>1420</v>
      </c>
      <c r="D128" s="1" t="s">
        <v>10795</v>
      </c>
      <c r="E128" s="1" t="str">
        <f>"8415"</f>
        <v>8415</v>
      </c>
      <c r="F128" s="1" t="str">
        <f>"015386754"</f>
        <v>015386754</v>
      </c>
      <c r="G128" s="1" t="s">
        <v>839</v>
      </c>
      <c r="H128" s="1" t="s">
        <v>15</v>
      </c>
      <c r="I128" s="3" t="str">
        <f>"1"</f>
        <v>1</v>
      </c>
      <c r="J128" s="3">
        <v>66.42</v>
      </c>
      <c r="K128" s="2">
        <v>45882</v>
      </c>
      <c r="L128" s="2">
        <v>45895</v>
      </c>
      <c r="M128" s="1" t="s">
        <v>10794</v>
      </c>
      <c r="N128" s="1" t="s">
        <v>10790</v>
      </c>
    </row>
    <row r="129" spans="1:14" x14ac:dyDescent="0.35">
      <c r="A129" s="1" t="s">
        <v>10574</v>
      </c>
      <c r="B129" s="3" t="s">
        <v>1407</v>
      </c>
      <c r="C129" s="1" t="s">
        <v>1420</v>
      </c>
      <c r="D129" s="1" t="s">
        <v>10793</v>
      </c>
      <c r="E129" s="1" t="str">
        <f>"8415"</f>
        <v>8415</v>
      </c>
      <c r="F129" s="1" t="str">
        <f>"015386754"</f>
        <v>015386754</v>
      </c>
      <c r="G129" s="1" t="s">
        <v>839</v>
      </c>
      <c r="H129" s="1" t="s">
        <v>15</v>
      </c>
      <c r="I129" s="3" t="str">
        <f>"1"</f>
        <v>1</v>
      </c>
      <c r="J129" s="3">
        <v>66.42</v>
      </c>
      <c r="K129" s="2">
        <v>45882</v>
      </c>
      <c r="L129" s="2">
        <v>45895</v>
      </c>
      <c r="M129" s="1" t="s">
        <v>10791</v>
      </c>
      <c r="N129" s="1" t="s">
        <v>10790</v>
      </c>
    </row>
    <row r="130" spans="1:14" x14ac:dyDescent="0.35">
      <c r="A130" s="1" t="s">
        <v>10574</v>
      </c>
      <c r="B130" s="3" t="s">
        <v>1407</v>
      </c>
      <c r="C130" s="1" t="s">
        <v>1420</v>
      </c>
      <c r="D130" s="1" t="s">
        <v>10792</v>
      </c>
      <c r="E130" s="1" t="str">
        <f>"8415"</f>
        <v>8415</v>
      </c>
      <c r="F130" s="1" t="str">
        <f>"015387761"</f>
        <v>015387761</v>
      </c>
      <c r="G130" s="1" t="s">
        <v>2476</v>
      </c>
      <c r="H130" s="1" t="s">
        <v>15</v>
      </c>
      <c r="I130" s="3" t="str">
        <f>"1"</f>
        <v>1</v>
      </c>
      <c r="J130" s="3">
        <v>115.68</v>
      </c>
      <c r="K130" s="2">
        <v>45882</v>
      </c>
      <c r="L130" s="2">
        <v>45895</v>
      </c>
      <c r="M130" s="1" t="s">
        <v>10791</v>
      </c>
      <c r="N130" s="1" t="s">
        <v>10790</v>
      </c>
    </row>
    <row r="131" spans="1:14" x14ac:dyDescent="0.35">
      <c r="A131" s="1" t="s">
        <v>10574</v>
      </c>
      <c r="B131" s="3" t="s">
        <v>1407</v>
      </c>
      <c r="C131" s="1" t="s">
        <v>1420</v>
      </c>
      <c r="D131" s="1" t="s">
        <v>10789</v>
      </c>
      <c r="E131" s="1" t="str">
        <f>"8415"</f>
        <v>8415</v>
      </c>
      <c r="F131" s="1" t="str">
        <f>"015387764"</f>
        <v>015387764</v>
      </c>
      <c r="G131" s="1" t="s">
        <v>2476</v>
      </c>
      <c r="H131" s="1" t="s">
        <v>15</v>
      </c>
      <c r="I131" s="3" t="str">
        <f>"2"</f>
        <v>2</v>
      </c>
      <c r="J131" s="3">
        <v>115.68</v>
      </c>
      <c r="K131" s="2">
        <v>45882</v>
      </c>
      <c r="L131" s="2">
        <v>45895</v>
      </c>
      <c r="M131" s="1" t="s">
        <v>7504</v>
      </c>
      <c r="N131" s="1" t="s">
        <v>10788</v>
      </c>
    </row>
    <row r="132" spans="1:14" x14ac:dyDescent="0.35">
      <c r="A132" s="1" t="s">
        <v>10574</v>
      </c>
      <c r="B132" s="3" t="s">
        <v>4087</v>
      </c>
      <c r="C132" s="1" t="s">
        <v>4143</v>
      </c>
      <c r="D132" s="1" t="s">
        <v>10787</v>
      </c>
      <c r="E132" s="1" t="str">
        <f>"1240"</f>
        <v>1240</v>
      </c>
      <c r="F132" s="1" t="s">
        <v>1461</v>
      </c>
      <c r="G132" s="1" t="s">
        <v>1462</v>
      </c>
      <c r="H132" s="1" t="s">
        <v>15</v>
      </c>
      <c r="I132" s="3" t="str">
        <f>"2"</f>
        <v>2</v>
      </c>
      <c r="J132" s="3" t="str">
        <f>"2500"</f>
        <v>2500</v>
      </c>
      <c r="K132" s="2">
        <v>45892</v>
      </c>
      <c r="L132" s="2">
        <v>45894</v>
      </c>
      <c r="M132" s="1" t="s">
        <v>10785</v>
      </c>
      <c r="N132" s="1" t="s">
        <v>10784</v>
      </c>
    </row>
    <row r="133" spans="1:14" x14ac:dyDescent="0.35">
      <c r="A133" s="1" t="s">
        <v>10574</v>
      </c>
      <c r="B133" s="3" t="s">
        <v>4087</v>
      </c>
      <c r="C133" s="1" t="s">
        <v>4143</v>
      </c>
      <c r="D133" s="1" t="s">
        <v>10786</v>
      </c>
      <c r="E133" s="1" t="str">
        <f>"1240"</f>
        <v>1240</v>
      </c>
      <c r="F133" s="1" t="s">
        <v>1461</v>
      </c>
      <c r="G133" s="1" t="s">
        <v>1462</v>
      </c>
      <c r="H133" s="1" t="s">
        <v>15</v>
      </c>
      <c r="I133" s="3" t="str">
        <f>"2"</f>
        <v>2</v>
      </c>
      <c r="J133" s="3" t="str">
        <f>"2500"</f>
        <v>2500</v>
      </c>
      <c r="K133" s="2">
        <v>45892</v>
      </c>
      <c r="L133" s="2">
        <v>45894</v>
      </c>
      <c r="M133" s="1" t="s">
        <v>10785</v>
      </c>
      <c r="N133" s="1" t="s">
        <v>10784</v>
      </c>
    </row>
    <row r="134" spans="1:14" x14ac:dyDescent="0.35">
      <c r="A134" s="1" t="s">
        <v>10574</v>
      </c>
      <c r="B134" s="3" t="s">
        <v>806</v>
      </c>
      <c r="C134" s="1" t="s">
        <v>10783</v>
      </c>
      <c r="D134" s="1" t="s">
        <v>10782</v>
      </c>
      <c r="E134" s="1" t="str">
        <f>"5140"</f>
        <v>5140</v>
      </c>
      <c r="F134" s="1" t="s">
        <v>9145</v>
      </c>
      <c r="G134" s="1" t="s">
        <v>9144</v>
      </c>
      <c r="H134" s="1" t="s">
        <v>15</v>
      </c>
      <c r="I134" s="3" t="str">
        <f>"1"</f>
        <v>1</v>
      </c>
      <c r="J134" s="3">
        <v>5033.7</v>
      </c>
      <c r="K134" s="2">
        <v>45891</v>
      </c>
      <c r="L134" s="2">
        <v>45894</v>
      </c>
      <c r="M134" s="1" t="s">
        <v>10781</v>
      </c>
      <c r="N134" s="1" t="s">
        <v>10585</v>
      </c>
    </row>
    <row r="135" spans="1:14" x14ac:dyDescent="0.35">
      <c r="A135" s="1" t="s">
        <v>10574</v>
      </c>
      <c r="B135" s="3" t="s">
        <v>93</v>
      </c>
      <c r="C135" s="1" t="s">
        <v>387</v>
      </c>
      <c r="D135" s="1" t="s">
        <v>10780</v>
      </c>
      <c r="E135" s="1" t="str">
        <f>"2310"</f>
        <v>2310</v>
      </c>
      <c r="F135" s="1" t="s">
        <v>413</v>
      </c>
      <c r="G135" s="1" t="s">
        <v>414</v>
      </c>
      <c r="H135" s="1" t="s">
        <v>15</v>
      </c>
      <c r="I135" s="3" t="str">
        <f>"1"</f>
        <v>1</v>
      </c>
      <c r="J135" s="3" t="str">
        <f>"17490"</f>
        <v>17490</v>
      </c>
      <c r="K135" s="2">
        <v>45891</v>
      </c>
      <c r="L135" s="2">
        <v>45894</v>
      </c>
      <c r="M135" s="1" t="s">
        <v>10779</v>
      </c>
      <c r="N135" s="1" t="s">
        <v>10778</v>
      </c>
    </row>
    <row r="136" spans="1:14" x14ac:dyDescent="0.35">
      <c r="A136" s="1" t="s">
        <v>10574</v>
      </c>
      <c r="B136" s="3" t="s">
        <v>1848</v>
      </c>
      <c r="C136" s="1" t="s">
        <v>1849</v>
      </c>
      <c r="D136" s="1" t="s">
        <v>10777</v>
      </c>
      <c r="E136" s="1" t="str">
        <f>"3920"</f>
        <v>3920</v>
      </c>
      <c r="F136" s="1" t="s">
        <v>2723</v>
      </c>
      <c r="G136" s="1" t="s">
        <v>2724</v>
      </c>
      <c r="H136" s="1" t="s">
        <v>15</v>
      </c>
      <c r="I136" s="3" t="str">
        <f>"1"</f>
        <v>1</v>
      </c>
      <c r="J136" s="3">
        <v>13542.7</v>
      </c>
      <c r="K136" s="2">
        <v>45889</v>
      </c>
      <c r="L136" s="2">
        <v>45894</v>
      </c>
      <c r="M136" s="1" t="s">
        <v>10776</v>
      </c>
      <c r="N136" s="1" t="s">
        <v>10775</v>
      </c>
    </row>
    <row r="137" spans="1:14" x14ac:dyDescent="0.35">
      <c r="A137" s="1" t="s">
        <v>10574</v>
      </c>
      <c r="B137" s="3" t="s">
        <v>2248</v>
      </c>
      <c r="C137" s="1" t="s">
        <v>2265</v>
      </c>
      <c r="D137" s="1" t="s">
        <v>10774</v>
      </c>
      <c r="E137" s="1" t="str">
        <f>"8415"</f>
        <v>8415</v>
      </c>
      <c r="F137" s="1" t="str">
        <f>"015656627"</f>
        <v>015656627</v>
      </c>
      <c r="G137" s="1" t="s">
        <v>10773</v>
      </c>
      <c r="H137" s="1" t="s">
        <v>15</v>
      </c>
      <c r="I137" s="3" t="str">
        <f>"6"</f>
        <v>6</v>
      </c>
      <c r="J137" s="3" t="str">
        <f>"100"</f>
        <v>100</v>
      </c>
      <c r="K137" s="2">
        <v>45884</v>
      </c>
      <c r="L137" s="2">
        <v>45894</v>
      </c>
      <c r="M137" s="1" t="s">
        <v>10772</v>
      </c>
      <c r="N137" s="1" t="s">
        <v>10765</v>
      </c>
    </row>
    <row r="138" spans="1:14" x14ac:dyDescent="0.35">
      <c r="A138" s="1" t="s">
        <v>10574</v>
      </c>
      <c r="B138" s="3" t="s">
        <v>2248</v>
      </c>
      <c r="C138" s="1" t="s">
        <v>2265</v>
      </c>
      <c r="D138" s="1" t="s">
        <v>10771</v>
      </c>
      <c r="E138" s="1" t="str">
        <f>"6760"</f>
        <v>6760</v>
      </c>
      <c r="F138" s="1" t="str">
        <f>"015534276"</f>
        <v>015534276</v>
      </c>
      <c r="G138" s="1" t="s">
        <v>1578</v>
      </c>
      <c r="H138" s="1" t="s">
        <v>15</v>
      </c>
      <c r="I138" s="3" t="str">
        <f>"2"</f>
        <v>2</v>
      </c>
      <c r="J138" s="3" t="str">
        <f>"1349"</f>
        <v>1349</v>
      </c>
      <c r="K138" s="2">
        <v>45884</v>
      </c>
      <c r="L138" s="2">
        <v>45894</v>
      </c>
      <c r="M138" s="1" t="s">
        <v>10769</v>
      </c>
      <c r="N138" s="1" t="s">
        <v>10765</v>
      </c>
    </row>
    <row r="139" spans="1:14" x14ac:dyDescent="0.35">
      <c r="A139" s="1" t="s">
        <v>10574</v>
      </c>
      <c r="B139" s="3" t="s">
        <v>2248</v>
      </c>
      <c r="C139" s="1" t="s">
        <v>2265</v>
      </c>
      <c r="D139" s="1" t="s">
        <v>10770</v>
      </c>
      <c r="E139" s="1" t="str">
        <f>"6760"</f>
        <v>6760</v>
      </c>
      <c r="F139" s="1" t="str">
        <f>"016692577"</f>
        <v>016692577</v>
      </c>
      <c r="G139" s="1" t="s">
        <v>1578</v>
      </c>
      <c r="H139" s="1" t="s">
        <v>15</v>
      </c>
      <c r="I139" s="3" t="str">
        <f>"2"</f>
        <v>2</v>
      </c>
      <c r="J139" s="3" t="str">
        <f>"2603"</f>
        <v>2603</v>
      </c>
      <c r="K139" s="2">
        <v>45884</v>
      </c>
      <c r="L139" s="2">
        <v>45894</v>
      </c>
      <c r="M139" s="1" t="s">
        <v>10769</v>
      </c>
      <c r="N139" s="1" t="s">
        <v>10765</v>
      </c>
    </row>
    <row r="140" spans="1:14" x14ac:dyDescent="0.35">
      <c r="A140" s="1" t="s">
        <v>10574</v>
      </c>
      <c r="B140" s="3" t="s">
        <v>2248</v>
      </c>
      <c r="C140" s="1" t="s">
        <v>2265</v>
      </c>
      <c r="D140" s="1" t="s">
        <v>10768</v>
      </c>
      <c r="E140" s="1" t="str">
        <f>"1095"</f>
        <v>1095</v>
      </c>
      <c r="F140" s="1" t="str">
        <f>"016041569"</f>
        <v>016041569</v>
      </c>
      <c r="G140" s="1" t="s">
        <v>10767</v>
      </c>
      <c r="H140" s="1" t="s">
        <v>15</v>
      </c>
      <c r="I140" s="3" t="str">
        <f>"6"</f>
        <v>6</v>
      </c>
      <c r="J140" s="3">
        <v>361.99</v>
      </c>
      <c r="K140" s="2">
        <v>45884</v>
      </c>
      <c r="L140" s="2">
        <v>45894</v>
      </c>
      <c r="M140" s="1" t="s">
        <v>10766</v>
      </c>
      <c r="N140" s="1" t="s">
        <v>10765</v>
      </c>
    </row>
    <row r="141" spans="1:14" x14ac:dyDescent="0.35">
      <c r="A141" s="1" t="s">
        <v>10574</v>
      </c>
      <c r="B141" s="3" t="s">
        <v>1317</v>
      </c>
      <c r="C141" s="1" t="s">
        <v>1381</v>
      </c>
      <c r="D141" s="1" t="s">
        <v>10764</v>
      </c>
      <c r="E141" s="1" t="str">
        <f>"5180"</f>
        <v>5180</v>
      </c>
      <c r="F141" s="1" t="str">
        <f>"011950855"</f>
        <v>011950855</v>
      </c>
      <c r="G141" s="1" t="s">
        <v>4796</v>
      </c>
      <c r="H141" s="1" t="s">
        <v>19</v>
      </c>
      <c r="I141" s="3" t="str">
        <f>"2"</f>
        <v>2</v>
      </c>
      <c r="J141" s="3">
        <v>1636.87</v>
      </c>
      <c r="K141" s="2">
        <v>45888</v>
      </c>
      <c r="L141" s="2">
        <v>45889</v>
      </c>
      <c r="M141" s="1" t="s">
        <v>10763</v>
      </c>
      <c r="N141" s="1" t="s">
        <v>10762</v>
      </c>
    </row>
    <row r="142" spans="1:14" x14ac:dyDescent="0.35">
      <c r="A142" s="1" t="s">
        <v>10574</v>
      </c>
      <c r="B142" s="3" t="s">
        <v>2720</v>
      </c>
      <c r="C142" s="1" t="s">
        <v>2931</v>
      </c>
      <c r="D142" s="1" t="s">
        <v>10761</v>
      </c>
      <c r="E142" s="1" t="str">
        <f>"8465"</f>
        <v>8465</v>
      </c>
      <c r="F142" s="1" t="s">
        <v>1621</v>
      </c>
      <c r="G142" s="1" t="s">
        <v>1622</v>
      </c>
      <c r="H142" s="1" t="s">
        <v>15</v>
      </c>
      <c r="I142" s="3" t="str">
        <f>"3"</f>
        <v>3</v>
      </c>
      <c r="J142" s="3">
        <v>22.62</v>
      </c>
      <c r="K142" s="2">
        <v>45884</v>
      </c>
      <c r="L142" s="2">
        <v>45888</v>
      </c>
      <c r="M142" s="1" t="s">
        <v>10760</v>
      </c>
      <c r="N142" s="1" t="s">
        <v>10585</v>
      </c>
    </row>
    <row r="143" spans="1:14" x14ac:dyDescent="0.35">
      <c r="A143" s="1" t="s">
        <v>10574</v>
      </c>
      <c r="B143" s="3" t="s">
        <v>2720</v>
      </c>
      <c r="C143" s="1" t="s">
        <v>2931</v>
      </c>
      <c r="D143" s="1" t="s">
        <v>10759</v>
      </c>
      <c r="E143" s="1" t="str">
        <f>"7810"</f>
        <v>7810</v>
      </c>
      <c r="F143" s="1" t="s">
        <v>10758</v>
      </c>
      <c r="G143" s="1" t="s">
        <v>10757</v>
      </c>
      <c r="H143" s="1" t="s">
        <v>15</v>
      </c>
      <c r="I143" s="3" t="str">
        <f>"1"</f>
        <v>1</v>
      </c>
      <c r="J143" s="3" t="str">
        <f>"50"</f>
        <v>50</v>
      </c>
      <c r="K143" s="2">
        <v>45884</v>
      </c>
      <c r="L143" s="2">
        <v>45888</v>
      </c>
      <c r="M143" s="1" t="s">
        <v>10756</v>
      </c>
      <c r="N143" s="1" t="s">
        <v>10585</v>
      </c>
    </row>
    <row r="144" spans="1:14" x14ac:dyDescent="0.35">
      <c r="A144" s="1" t="s">
        <v>10574</v>
      </c>
      <c r="B144" s="3" t="s">
        <v>2720</v>
      </c>
      <c r="C144" s="1" t="s">
        <v>2931</v>
      </c>
      <c r="D144" s="1" t="s">
        <v>10755</v>
      </c>
      <c r="E144" s="1" t="str">
        <f>"8115"</f>
        <v>8115</v>
      </c>
      <c r="F144" s="1" t="s">
        <v>1422</v>
      </c>
      <c r="G144" s="1" t="s">
        <v>1423</v>
      </c>
      <c r="H144" s="1" t="s">
        <v>15</v>
      </c>
      <c r="I144" s="3" t="str">
        <f>"10"</f>
        <v>10</v>
      </c>
      <c r="J144" s="3" t="str">
        <f>"50"</f>
        <v>50</v>
      </c>
      <c r="K144" s="2">
        <v>45884</v>
      </c>
      <c r="L144" s="2">
        <v>45888</v>
      </c>
      <c r="M144" s="1" t="s">
        <v>10754</v>
      </c>
      <c r="N144" s="1" t="s">
        <v>10585</v>
      </c>
    </row>
    <row r="145" spans="1:14" x14ac:dyDescent="0.35">
      <c r="A145" s="1" t="s">
        <v>10574</v>
      </c>
      <c r="B145" s="3" t="s">
        <v>4087</v>
      </c>
      <c r="C145" s="1" t="s">
        <v>4143</v>
      </c>
      <c r="D145" s="1" t="s">
        <v>10753</v>
      </c>
      <c r="E145" s="1" t="str">
        <f>"8145"</f>
        <v>8145</v>
      </c>
      <c r="F145" s="1" t="s">
        <v>743</v>
      </c>
      <c r="G145" s="1" t="s">
        <v>744</v>
      </c>
      <c r="H145" s="1" t="s">
        <v>15</v>
      </c>
      <c r="I145" s="3" t="str">
        <f>"1"</f>
        <v>1</v>
      </c>
      <c r="J145" s="3" t="str">
        <f>"100"</f>
        <v>100</v>
      </c>
      <c r="K145" s="2">
        <v>45882</v>
      </c>
      <c r="L145" s="2">
        <v>45888</v>
      </c>
      <c r="M145" s="1" t="s">
        <v>10752</v>
      </c>
    </row>
    <row r="146" spans="1:14" x14ac:dyDescent="0.35">
      <c r="A146" s="1" t="s">
        <v>10574</v>
      </c>
      <c r="B146" s="3" t="s">
        <v>2248</v>
      </c>
      <c r="C146" s="1" t="s">
        <v>2414</v>
      </c>
      <c r="D146" s="1" t="s">
        <v>10751</v>
      </c>
      <c r="E146" s="1" t="str">
        <f>"8465"</f>
        <v>8465</v>
      </c>
      <c r="F146" s="1" t="str">
        <f>"015801319"</f>
        <v>015801319</v>
      </c>
      <c r="G146" s="1" t="s">
        <v>10750</v>
      </c>
      <c r="H146" s="1" t="s">
        <v>15</v>
      </c>
      <c r="I146" s="3" t="str">
        <f>"10"</f>
        <v>10</v>
      </c>
      <c r="J146" s="3">
        <v>35.6</v>
      </c>
      <c r="K146" s="2">
        <v>45883</v>
      </c>
      <c r="L146" s="2">
        <v>45887</v>
      </c>
      <c r="M146" s="1" t="s">
        <v>10749</v>
      </c>
      <c r="N146" s="1" t="s">
        <v>10585</v>
      </c>
    </row>
    <row r="147" spans="1:14" x14ac:dyDescent="0.35">
      <c r="A147" s="1" t="s">
        <v>10574</v>
      </c>
      <c r="B147" s="3" t="s">
        <v>2000</v>
      </c>
      <c r="C147" s="1" t="s">
        <v>2001</v>
      </c>
      <c r="D147" s="1" t="s">
        <v>10748</v>
      </c>
      <c r="E147" s="1" t="str">
        <f>"6115"</f>
        <v>6115</v>
      </c>
      <c r="F147" s="1" t="str">
        <f>"014743776"</f>
        <v>014743776</v>
      </c>
      <c r="G147" s="1" t="s">
        <v>1838</v>
      </c>
      <c r="H147" s="1" t="s">
        <v>15</v>
      </c>
      <c r="I147" s="3" t="str">
        <f>"3"</f>
        <v>3</v>
      </c>
      <c r="J147" s="3" t="str">
        <f>"96819"</f>
        <v>96819</v>
      </c>
      <c r="K147" s="2">
        <v>45883</v>
      </c>
      <c r="L147" s="2">
        <v>45884</v>
      </c>
      <c r="M147" s="1" t="s">
        <v>7418</v>
      </c>
      <c r="N147" s="1" t="s">
        <v>10745</v>
      </c>
    </row>
    <row r="148" spans="1:14" x14ac:dyDescent="0.35">
      <c r="A148" s="1" t="s">
        <v>10574</v>
      </c>
      <c r="B148" s="3" t="s">
        <v>2000</v>
      </c>
      <c r="C148" s="1" t="s">
        <v>2001</v>
      </c>
      <c r="D148" s="1" t="s">
        <v>10747</v>
      </c>
      <c r="E148" s="1" t="str">
        <f>"6115"</f>
        <v>6115</v>
      </c>
      <c r="F148" s="1" t="str">
        <f>"014711508"</f>
        <v>014711508</v>
      </c>
      <c r="G148" s="1" t="s">
        <v>1772</v>
      </c>
      <c r="H148" s="1" t="s">
        <v>15</v>
      </c>
      <c r="I148" s="3" t="str">
        <f>"2"</f>
        <v>2</v>
      </c>
      <c r="J148" s="3" t="str">
        <f>"44185"</f>
        <v>44185</v>
      </c>
      <c r="K148" s="2">
        <v>45883</v>
      </c>
      <c r="L148" s="2">
        <v>45884</v>
      </c>
      <c r="M148" s="1" t="s">
        <v>10746</v>
      </c>
      <c r="N148" s="1" t="s">
        <v>10745</v>
      </c>
    </row>
    <row r="149" spans="1:14" x14ac:dyDescent="0.35">
      <c r="A149" s="1" t="s">
        <v>10574</v>
      </c>
      <c r="B149" s="3" t="s">
        <v>2000</v>
      </c>
      <c r="C149" s="1" t="s">
        <v>2035</v>
      </c>
      <c r="D149" s="1" t="s">
        <v>10744</v>
      </c>
      <c r="E149" s="1" t="str">
        <f>"2320"</f>
        <v>2320</v>
      </c>
      <c r="F149" s="1" t="str">
        <f>"005401428"</f>
        <v>005401428</v>
      </c>
      <c r="G149" s="1" t="s">
        <v>373</v>
      </c>
      <c r="H149" s="1" t="s">
        <v>15</v>
      </c>
      <c r="I149" s="3" t="str">
        <f>"1"</f>
        <v>1</v>
      </c>
      <c r="J149" s="3" t="str">
        <f>"13334"</f>
        <v>13334</v>
      </c>
      <c r="K149" s="2">
        <v>45880</v>
      </c>
      <c r="L149" s="2">
        <v>45884</v>
      </c>
      <c r="M149" s="1" t="s">
        <v>10743</v>
      </c>
      <c r="N149" s="1" t="s">
        <v>10742</v>
      </c>
    </row>
    <row r="150" spans="1:14" x14ac:dyDescent="0.35">
      <c r="A150" s="1" t="s">
        <v>10574</v>
      </c>
      <c r="B150" s="3" t="s">
        <v>11</v>
      </c>
      <c r="C150" s="1" t="s">
        <v>12</v>
      </c>
      <c r="D150" s="1" t="s">
        <v>10741</v>
      </c>
      <c r="E150" s="1" t="str">
        <f>"6545"</f>
        <v>6545</v>
      </c>
      <c r="F150" s="1" t="str">
        <f>"015300929"</f>
        <v>015300929</v>
      </c>
      <c r="G150" s="1" t="s">
        <v>293</v>
      </c>
      <c r="H150" s="1" t="s">
        <v>19</v>
      </c>
      <c r="I150" s="3" t="str">
        <f>"90"</f>
        <v>90</v>
      </c>
      <c r="J150" s="3">
        <v>62.81</v>
      </c>
      <c r="K150" s="2">
        <v>45854</v>
      </c>
      <c r="L150" s="2">
        <v>45884</v>
      </c>
      <c r="M150" s="1" t="s">
        <v>10740</v>
      </c>
      <c r="N150" s="1" t="s">
        <v>10739</v>
      </c>
    </row>
    <row r="151" spans="1:14" x14ac:dyDescent="0.35">
      <c r="A151" s="1" t="s">
        <v>10574</v>
      </c>
      <c r="B151" s="3" t="s">
        <v>1944</v>
      </c>
      <c r="C151" s="1" t="s">
        <v>7302</v>
      </c>
      <c r="D151" s="1" t="s">
        <v>10738</v>
      </c>
      <c r="E151" s="1" t="str">
        <f>"2320"</f>
        <v>2320</v>
      </c>
      <c r="F151" s="1" t="str">
        <f>"014476343"</f>
        <v>014476343</v>
      </c>
      <c r="G151" s="1" t="s">
        <v>373</v>
      </c>
      <c r="H151" s="1" t="s">
        <v>15</v>
      </c>
      <c r="I151" s="3" t="str">
        <f>"1"</f>
        <v>1</v>
      </c>
      <c r="J151" s="3" t="str">
        <f>"176428"</f>
        <v>176428</v>
      </c>
      <c r="K151" s="2">
        <v>45882</v>
      </c>
      <c r="L151" s="2">
        <v>45883</v>
      </c>
      <c r="M151" s="1" t="s">
        <v>10737</v>
      </c>
      <c r="N151" s="1" t="s">
        <v>10736</v>
      </c>
    </row>
    <row r="152" spans="1:14" x14ac:dyDescent="0.35">
      <c r="A152" s="1" t="s">
        <v>10574</v>
      </c>
      <c r="B152" s="3" t="s">
        <v>601</v>
      </c>
      <c r="C152" s="1" t="s">
        <v>667</v>
      </c>
      <c r="D152" s="1" t="s">
        <v>10735</v>
      </c>
      <c r="E152" s="1" t="str">
        <f>"6760"</f>
        <v>6760</v>
      </c>
      <c r="F152" s="1" t="s">
        <v>671</v>
      </c>
      <c r="G152" s="1" t="s">
        <v>672</v>
      </c>
      <c r="H152" s="1" t="s">
        <v>15</v>
      </c>
      <c r="I152" s="3" t="str">
        <f>"2"</f>
        <v>2</v>
      </c>
      <c r="J152" s="3">
        <v>649.9</v>
      </c>
      <c r="K152" s="2">
        <v>45876</v>
      </c>
      <c r="L152" s="2">
        <v>45880</v>
      </c>
      <c r="M152" s="1" t="s">
        <v>6513</v>
      </c>
      <c r="N152" s="1" t="s">
        <v>10585</v>
      </c>
    </row>
    <row r="153" spans="1:14" x14ac:dyDescent="0.35">
      <c r="A153" s="1" t="s">
        <v>10574</v>
      </c>
      <c r="B153" s="3" t="s">
        <v>601</v>
      </c>
      <c r="C153" s="1" t="s">
        <v>667</v>
      </c>
      <c r="D153" s="1" t="s">
        <v>10734</v>
      </c>
      <c r="E153" s="1" t="str">
        <f>"6760"</f>
        <v>6760</v>
      </c>
      <c r="F153" s="1" t="s">
        <v>671</v>
      </c>
      <c r="G153" s="1" t="s">
        <v>672</v>
      </c>
      <c r="H153" s="1" t="s">
        <v>15</v>
      </c>
      <c r="I153" s="3" t="str">
        <f>"2"</f>
        <v>2</v>
      </c>
      <c r="J153" s="3">
        <v>289.89999999999998</v>
      </c>
      <c r="K153" s="2">
        <v>45876</v>
      </c>
      <c r="L153" s="2">
        <v>45880</v>
      </c>
      <c r="M153" s="1" t="s">
        <v>6513</v>
      </c>
      <c r="N153" s="1" t="s">
        <v>10585</v>
      </c>
    </row>
    <row r="154" spans="1:14" x14ac:dyDescent="0.35">
      <c r="A154" s="1" t="s">
        <v>10574</v>
      </c>
      <c r="B154" s="3" t="s">
        <v>601</v>
      </c>
      <c r="C154" s="1" t="s">
        <v>664</v>
      </c>
      <c r="D154" s="1" t="s">
        <v>10733</v>
      </c>
      <c r="E154" s="1" t="str">
        <f>"2320"</f>
        <v>2320</v>
      </c>
      <c r="F154" s="1" t="s">
        <v>274</v>
      </c>
      <c r="G154" s="1" t="s">
        <v>275</v>
      </c>
      <c r="H154" s="1" t="s">
        <v>15</v>
      </c>
      <c r="I154" s="3" t="str">
        <f>"1"</f>
        <v>1</v>
      </c>
      <c r="J154" s="3" t="str">
        <f>"30000"</f>
        <v>30000</v>
      </c>
      <c r="K154" s="2">
        <v>45874</v>
      </c>
      <c r="L154" s="2">
        <v>45880</v>
      </c>
      <c r="M154" s="1" t="s">
        <v>10731</v>
      </c>
      <c r="N154" s="1" t="s">
        <v>10585</v>
      </c>
    </row>
    <row r="155" spans="1:14" x14ac:dyDescent="0.35">
      <c r="A155" s="1" t="s">
        <v>10574</v>
      </c>
      <c r="B155" s="3" t="s">
        <v>601</v>
      </c>
      <c r="C155" s="1" t="s">
        <v>664</v>
      </c>
      <c r="D155" s="1" t="s">
        <v>10732</v>
      </c>
      <c r="E155" s="1" t="str">
        <f>"2320"</f>
        <v>2320</v>
      </c>
      <c r="F155" s="1" t="s">
        <v>274</v>
      </c>
      <c r="G155" s="1" t="s">
        <v>275</v>
      </c>
      <c r="H155" s="1" t="s">
        <v>15</v>
      </c>
      <c r="I155" s="3" t="str">
        <f>"1"</f>
        <v>1</v>
      </c>
      <c r="J155" s="3" t="str">
        <f>"30000"</f>
        <v>30000</v>
      </c>
      <c r="K155" s="2">
        <v>45874</v>
      </c>
      <c r="L155" s="2">
        <v>45880</v>
      </c>
      <c r="M155" s="1" t="s">
        <v>10731</v>
      </c>
      <c r="N155" s="1" t="s">
        <v>10585</v>
      </c>
    </row>
    <row r="156" spans="1:14" x14ac:dyDescent="0.35">
      <c r="A156" s="1" t="s">
        <v>10574</v>
      </c>
      <c r="B156" s="3" t="s">
        <v>2720</v>
      </c>
      <c r="C156" s="1" t="s">
        <v>2897</v>
      </c>
      <c r="D156" s="1" t="s">
        <v>10730</v>
      </c>
      <c r="E156" s="1" t="str">
        <f>"1550"</f>
        <v>1550</v>
      </c>
      <c r="F156" s="1" t="str">
        <f>"015389256"</f>
        <v>015389256</v>
      </c>
      <c r="G156" s="1" t="s">
        <v>2416</v>
      </c>
      <c r="H156" s="1" t="s">
        <v>15</v>
      </c>
      <c r="I156" s="3" t="str">
        <f>"1"</f>
        <v>1</v>
      </c>
      <c r="J156" s="3" t="str">
        <f>"100000"</f>
        <v>100000</v>
      </c>
      <c r="K156" s="2">
        <v>45876</v>
      </c>
      <c r="L156" s="2">
        <v>45876</v>
      </c>
      <c r="M156" s="1" t="s">
        <v>6387</v>
      </c>
      <c r="N156" s="1" t="s">
        <v>10727</v>
      </c>
    </row>
    <row r="157" spans="1:14" x14ac:dyDescent="0.35">
      <c r="A157" s="1" t="s">
        <v>10574</v>
      </c>
      <c r="B157" s="3" t="s">
        <v>2720</v>
      </c>
      <c r="C157" s="1" t="s">
        <v>2897</v>
      </c>
      <c r="D157" s="1" t="s">
        <v>10729</v>
      </c>
      <c r="E157" s="1" t="str">
        <f>"1550"</f>
        <v>1550</v>
      </c>
      <c r="F157" s="1" t="str">
        <f>"015389256"</f>
        <v>015389256</v>
      </c>
      <c r="G157" s="1" t="s">
        <v>2416</v>
      </c>
      <c r="H157" s="1" t="s">
        <v>15</v>
      </c>
      <c r="I157" s="3" t="str">
        <f>"1"</f>
        <v>1</v>
      </c>
      <c r="J157" s="3" t="str">
        <f>"100000"</f>
        <v>100000</v>
      </c>
      <c r="K157" s="2">
        <v>45876</v>
      </c>
      <c r="L157" s="2">
        <v>45876</v>
      </c>
      <c r="M157" s="1" t="s">
        <v>6387</v>
      </c>
      <c r="N157" s="1" t="s">
        <v>10727</v>
      </c>
    </row>
    <row r="158" spans="1:14" x14ac:dyDescent="0.35">
      <c r="A158" s="1" t="s">
        <v>10574</v>
      </c>
      <c r="B158" s="3" t="s">
        <v>2720</v>
      </c>
      <c r="C158" s="1" t="s">
        <v>2897</v>
      </c>
      <c r="D158" s="1" t="s">
        <v>10728</v>
      </c>
      <c r="E158" s="1" t="str">
        <f>"1550"</f>
        <v>1550</v>
      </c>
      <c r="F158" s="1" t="str">
        <f>"016215533"</f>
        <v>016215533</v>
      </c>
      <c r="G158" s="1" t="s">
        <v>2334</v>
      </c>
      <c r="H158" s="1" t="s">
        <v>15</v>
      </c>
      <c r="I158" s="3" t="str">
        <f>"1"</f>
        <v>1</v>
      </c>
      <c r="J158" s="3" t="str">
        <f>"168000"</f>
        <v>168000</v>
      </c>
      <c r="K158" s="2">
        <v>45876</v>
      </c>
      <c r="L158" s="2">
        <v>45876</v>
      </c>
      <c r="M158" s="1" t="s">
        <v>6387</v>
      </c>
      <c r="N158" s="1" t="s">
        <v>10727</v>
      </c>
    </row>
    <row r="159" spans="1:14" x14ac:dyDescent="0.35">
      <c r="A159" s="1" t="s">
        <v>10574</v>
      </c>
      <c r="B159" s="3" t="s">
        <v>93</v>
      </c>
      <c r="C159" s="1" t="s">
        <v>203</v>
      </c>
      <c r="D159" s="1" t="s">
        <v>10726</v>
      </c>
      <c r="E159" s="1" t="str">
        <f>"8405"</f>
        <v>8405</v>
      </c>
      <c r="F159" s="1" t="str">
        <f>"014969808"</f>
        <v>014969808</v>
      </c>
      <c r="G159" s="1" t="s">
        <v>10725</v>
      </c>
      <c r="H159" s="1" t="s">
        <v>15</v>
      </c>
      <c r="I159" s="3" t="str">
        <f>"8"</f>
        <v>8</v>
      </c>
      <c r="J159" s="3">
        <v>36.35</v>
      </c>
      <c r="K159" s="2">
        <v>45875</v>
      </c>
      <c r="L159" s="2">
        <v>45876</v>
      </c>
      <c r="M159" s="1" t="s">
        <v>10724</v>
      </c>
      <c r="N159" s="1" t="s">
        <v>10723</v>
      </c>
    </row>
    <row r="160" spans="1:14" x14ac:dyDescent="0.35">
      <c r="A160" s="1" t="s">
        <v>10574</v>
      </c>
      <c r="B160" s="3" t="s">
        <v>3183</v>
      </c>
      <c r="C160" s="1" t="s">
        <v>3376</v>
      </c>
      <c r="D160" s="1" t="s">
        <v>10722</v>
      </c>
      <c r="E160" s="1" t="str">
        <f>"8465"</f>
        <v>8465</v>
      </c>
      <c r="F160" s="1" t="str">
        <f>"015236276"</f>
        <v>015236276</v>
      </c>
      <c r="G160" s="1" t="s">
        <v>3420</v>
      </c>
      <c r="H160" s="1" t="s">
        <v>58</v>
      </c>
      <c r="I160" s="3" t="str">
        <f>"32"</f>
        <v>32</v>
      </c>
      <c r="J160" s="3">
        <v>265.95999999999998</v>
      </c>
      <c r="K160" s="2">
        <v>45875</v>
      </c>
      <c r="L160" s="2">
        <v>45876</v>
      </c>
      <c r="M160" s="1" t="s">
        <v>3421</v>
      </c>
      <c r="N160" s="1" t="s">
        <v>10721</v>
      </c>
    </row>
    <row r="161" spans="1:14" x14ac:dyDescent="0.35">
      <c r="A161" s="1" t="s">
        <v>10574</v>
      </c>
      <c r="B161" s="3" t="s">
        <v>4087</v>
      </c>
      <c r="C161" s="1" t="s">
        <v>4143</v>
      </c>
      <c r="D161" s="1" t="s">
        <v>10720</v>
      </c>
      <c r="E161" s="1" t="str">
        <f>"8460"</f>
        <v>8460</v>
      </c>
      <c r="F161" s="1" t="s">
        <v>2429</v>
      </c>
      <c r="G161" s="1" t="s">
        <v>2430</v>
      </c>
      <c r="H161" s="1" t="s">
        <v>15</v>
      </c>
      <c r="I161" s="3" t="str">
        <f>"2"</f>
        <v>2</v>
      </c>
      <c r="J161" s="3" t="str">
        <f>"320"</f>
        <v>320</v>
      </c>
      <c r="K161" s="2">
        <v>45875</v>
      </c>
      <c r="L161" s="2">
        <v>45876</v>
      </c>
      <c r="M161" s="1" t="s">
        <v>10719</v>
      </c>
      <c r="N161" s="1" t="s">
        <v>10718</v>
      </c>
    </row>
    <row r="162" spans="1:14" x14ac:dyDescent="0.35">
      <c r="A162" s="1" t="s">
        <v>10574</v>
      </c>
      <c r="B162" s="3" t="s">
        <v>2720</v>
      </c>
      <c r="C162" s="1" t="s">
        <v>2897</v>
      </c>
      <c r="D162" s="1" t="s">
        <v>10717</v>
      </c>
      <c r="E162" s="1" t="str">
        <f>"7010"</f>
        <v>7010</v>
      </c>
      <c r="F162" s="1" t="str">
        <f>"016167730"</f>
        <v>016167730</v>
      </c>
      <c r="G162" s="1" t="s">
        <v>2255</v>
      </c>
      <c r="H162" s="1" t="s">
        <v>15</v>
      </c>
      <c r="I162" s="3" t="str">
        <f>"5"</f>
        <v>5</v>
      </c>
      <c r="J162" s="3">
        <v>5360.03</v>
      </c>
      <c r="K162" s="2">
        <v>45873</v>
      </c>
      <c r="L162" s="2">
        <v>45874</v>
      </c>
      <c r="M162" s="1" t="s">
        <v>10716</v>
      </c>
      <c r="N162" s="1" t="s">
        <v>10715</v>
      </c>
    </row>
    <row r="163" spans="1:14" x14ac:dyDescent="0.35">
      <c r="A163" s="1" t="s">
        <v>10574</v>
      </c>
      <c r="B163" s="3" t="s">
        <v>1317</v>
      </c>
      <c r="C163" s="1" t="s">
        <v>1318</v>
      </c>
      <c r="D163" s="1" t="s">
        <v>10714</v>
      </c>
      <c r="E163" s="1" t="str">
        <f>"5855"</f>
        <v>5855</v>
      </c>
      <c r="F163" s="1" t="str">
        <f>"014748904"</f>
        <v>014748904</v>
      </c>
      <c r="G163" s="1" t="s">
        <v>1953</v>
      </c>
      <c r="H163" s="1" t="s">
        <v>15</v>
      </c>
      <c r="I163" s="3" t="str">
        <f>"1"</f>
        <v>1</v>
      </c>
      <c r="J163" s="3" t="str">
        <f>"5314"</f>
        <v>5314</v>
      </c>
      <c r="K163" s="2">
        <v>45871</v>
      </c>
      <c r="L163" s="2">
        <v>45874</v>
      </c>
      <c r="M163" s="1" t="s">
        <v>10706</v>
      </c>
      <c r="N163" s="1" t="s">
        <v>10705</v>
      </c>
    </row>
    <row r="164" spans="1:14" x14ac:dyDescent="0.35">
      <c r="A164" s="1" t="s">
        <v>10574</v>
      </c>
      <c r="B164" s="3" t="s">
        <v>1317</v>
      </c>
      <c r="C164" s="1" t="s">
        <v>1318</v>
      </c>
      <c r="D164" s="1" t="s">
        <v>10713</v>
      </c>
      <c r="E164" s="1" t="str">
        <f>"5855"</f>
        <v>5855</v>
      </c>
      <c r="F164" s="1" t="str">
        <f>"014748904"</f>
        <v>014748904</v>
      </c>
      <c r="G164" s="1" t="s">
        <v>1953</v>
      </c>
      <c r="H164" s="1" t="s">
        <v>15</v>
      </c>
      <c r="I164" s="3" t="str">
        <f>"1"</f>
        <v>1</v>
      </c>
      <c r="J164" s="3" t="str">
        <f>"5314"</f>
        <v>5314</v>
      </c>
      <c r="K164" s="2">
        <v>45871</v>
      </c>
      <c r="L164" s="2">
        <v>45874</v>
      </c>
      <c r="M164" s="1" t="s">
        <v>10706</v>
      </c>
      <c r="N164" s="1" t="s">
        <v>10705</v>
      </c>
    </row>
    <row r="165" spans="1:14" x14ac:dyDescent="0.35">
      <c r="A165" s="1" t="s">
        <v>10574</v>
      </c>
      <c r="B165" s="3" t="s">
        <v>1317</v>
      </c>
      <c r="C165" s="1" t="s">
        <v>1318</v>
      </c>
      <c r="D165" s="1" t="s">
        <v>10712</v>
      </c>
      <c r="E165" s="1" t="str">
        <f>"5855"</f>
        <v>5855</v>
      </c>
      <c r="F165" s="1" t="str">
        <f>"014748904"</f>
        <v>014748904</v>
      </c>
      <c r="G165" s="1" t="s">
        <v>1953</v>
      </c>
      <c r="H165" s="1" t="s">
        <v>15</v>
      </c>
      <c r="I165" s="3" t="str">
        <f>"1"</f>
        <v>1</v>
      </c>
      <c r="J165" s="3" t="str">
        <f>"5314"</f>
        <v>5314</v>
      </c>
      <c r="K165" s="2">
        <v>45871</v>
      </c>
      <c r="L165" s="2">
        <v>45874</v>
      </c>
      <c r="M165" s="1" t="s">
        <v>10706</v>
      </c>
      <c r="N165" s="1" t="s">
        <v>10705</v>
      </c>
    </row>
    <row r="166" spans="1:14" x14ac:dyDescent="0.35">
      <c r="A166" s="1" t="s">
        <v>10574</v>
      </c>
      <c r="B166" s="3" t="s">
        <v>1317</v>
      </c>
      <c r="C166" s="1" t="s">
        <v>1318</v>
      </c>
      <c r="D166" s="1" t="s">
        <v>10711</v>
      </c>
      <c r="E166" s="1" t="str">
        <f>"5855"</f>
        <v>5855</v>
      </c>
      <c r="F166" s="1" t="str">
        <f>"014748904"</f>
        <v>014748904</v>
      </c>
      <c r="G166" s="1" t="s">
        <v>1953</v>
      </c>
      <c r="H166" s="1" t="s">
        <v>15</v>
      </c>
      <c r="I166" s="3" t="str">
        <f>"1"</f>
        <v>1</v>
      </c>
      <c r="J166" s="3" t="str">
        <f>"5314"</f>
        <v>5314</v>
      </c>
      <c r="K166" s="2">
        <v>45871</v>
      </c>
      <c r="L166" s="2">
        <v>45874</v>
      </c>
      <c r="M166" s="1" t="s">
        <v>10706</v>
      </c>
      <c r="N166" s="1" t="s">
        <v>10705</v>
      </c>
    </row>
    <row r="167" spans="1:14" x14ac:dyDescent="0.35">
      <c r="A167" s="1" t="s">
        <v>10574</v>
      </c>
      <c r="B167" s="3" t="s">
        <v>1317</v>
      </c>
      <c r="C167" s="1" t="s">
        <v>1318</v>
      </c>
      <c r="D167" s="1" t="s">
        <v>10710</v>
      </c>
      <c r="E167" s="1" t="str">
        <f>"5855"</f>
        <v>5855</v>
      </c>
      <c r="F167" s="1" t="str">
        <f>"014748904"</f>
        <v>014748904</v>
      </c>
      <c r="G167" s="1" t="s">
        <v>1953</v>
      </c>
      <c r="H167" s="1" t="s">
        <v>15</v>
      </c>
      <c r="I167" s="3" t="str">
        <f>"1"</f>
        <v>1</v>
      </c>
      <c r="J167" s="3" t="str">
        <f>"5314"</f>
        <v>5314</v>
      </c>
      <c r="K167" s="2">
        <v>45871</v>
      </c>
      <c r="L167" s="2">
        <v>45874</v>
      </c>
      <c r="M167" s="1" t="s">
        <v>10706</v>
      </c>
      <c r="N167" s="1" t="s">
        <v>10705</v>
      </c>
    </row>
    <row r="168" spans="1:14" x14ac:dyDescent="0.35">
      <c r="A168" s="1" t="s">
        <v>10574</v>
      </c>
      <c r="B168" s="3" t="s">
        <v>1317</v>
      </c>
      <c r="C168" s="1" t="s">
        <v>1318</v>
      </c>
      <c r="D168" s="1" t="s">
        <v>10709</v>
      </c>
      <c r="E168" s="1" t="str">
        <f>"5855"</f>
        <v>5855</v>
      </c>
      <c r="F168" s="1" t="str">
        <f>"014748904"</f>
        <v>014748904</v>
      </c>
      <c r="G168" s="1" t="s">
        <v>1953</v>
      </c>
      <c r="H168" s="1" t="s">
        <v>15</v>
      </c>
      <c r="I168" s="3" t="str">
        <f>"1"</f>
        <v>1</v>
      </c>
      <c r="J168" s="3" t="str">
        <f>"5314"</f>
        <v>5314</v>
      </c>
      <c r="K168" s="2">
        <v>45871</v>
      </c>
      <c r="L168" s="2">
        <v>45874</v>
      </c>
      <c r="M168" s="1" t="s">
        <v>10706</v>
      </c>
      <c r="N168" s="1" t="s">
        <v>10705</v>
      </c>
    </row>
    <row r="169" spans="1:14" x14ac:dyDescent="0.35">
      <c r="A169" s="1" t="s">
        <v>10574</v>
      </c>
      <c r="B169" s="3" t="s">
        <v>1317</v>
      </c>
      <c r="C169" s="1" t="s">
        <v>1318</v>
      </c>
      <c r="D169" s="1" t="s">
        <v>10708</v>
      </c>
      <c r="E169" s="1" t="str">
        <f>"5855"</f>
        <v>5855</v>
      </c>
      <c r="F169" s="1" t="str">
        <f>"014748904"</f>
        <v>014748904</v>
      </c>
      <c r="G169" s="1" t="s">
        <v>1953</v>
      </c>
      <c r="H169" s="1" t="s">
        <v>15</v>
      </c>
      <c r="I169" s="3" t="str">
        <f>"1"</f>
        <v>1</v>
      </c>
      <c r="J169" s="3" t="str">
        <f>"5314"</f>
        <v>5314</v>
      </c>
      <c r="K169" s="2">
        <v>45871</v>
      </c>
      <c r="L169" s="2">
        <v>45874</v>
      </c>
      <c r="M169" s="1" t="s">
        <v>10706</v>
      </c>
      <c r="N169" s="1" t="s">
        <v>10705</v>
      </c>
    </row>
    <row r="170" spans="1:14" x14ac:dyDescent="0.35">
      <c r="A170" s="1" t="s">
        <v>10574</v>
      </c>
      <c r="B170" s="3" t="s">
        <v>1317</v>
      </c>
      <c r="C170" s="1" t="s">
        <v>1318</v>
      </c>
      <c r="D170" s="1" t="s">
        <v>10707</v>
      </c>
      <c r="E170" s="1" t="str">
        <f>"5855"</f>
        <v>5855</v>
      </c>
      <c r="F170" s="1" t="str">
        <f>"014748904"</f>
        <v>014748904</v>
      </c>
      <c r="G170" s="1" t="s">
        <v>1953</v>
      </c>
      <c r="H170" s="1" t="s">
        <v>15</v>
      </c>
      <c r="I170" s="3" t="str">
        <f>"1"</f>
        <v>1</v>
      </c>
      <c r="J170" s="3" t="str">
        <f>"5314"</f>
        <v>5314</v>
      </c>
      <c r="K170" s="2">
        <v>45871</v>
      </c>
      <c r="L170" s="2">
        <v>45874</v>
      </c>
      <c r="M170" s="1" t="s">
        <v>10706</v>
      </c>
      <c r="N170" s="1" t="s">
        <v>10705</v>
      </c>
    </row>
    <row r="171" spans="1:14" x14ac:dyDescent="0.35">
      <c r="A171" s="1" t="s">
        <v>10574</v>
      </c>
      <c r="B171" s="3" t="s">
        <v>1317</v>
      </c>
      <c r="C171" s="1" t="s">
        <v>1318</v>
      </c>
      <c r="D171" s="1" t="s">
        <v>10704</v>
      </c>
      <c r="E171" s="1" t="str">
        <f>"7035"</f>
        <v>7035</v>
      </c>
      <c r="F171" s="1" t="s">
        <v>9890</v>
      </c>
      <c r="G171" s="1" t="s">
        <v>9889</v>
      </c>
      <c r="H171" s="1" t="s">
        <v>15</v>
      </c>
      <c r="I171" s="3" t="str">
        <f>"3"</f>
        <v>3</v>
      </c>
      <c r="J171" s="3">
        <v>2037.23</v>
      </c>
      <c r="K171" s="2">
        <v>45870</v>
      </c>
      <c r="L171" s="2">
        <v>45874</v>
      </c>
      <c r="M171" s="1" t="s">
        <v>10703</v>
      </c>
      <c r="N171" s="1" t="s">
        <v>10699</v>
      </c>
    </row>
    <row r="172" spans="1:14" x14ac:dyDescent="0.35">
      <c r="A172" s="1" t="s">
        <v>10574</v>
      </c>
      <c r="B172" s="3" t="s">
        <v>1317</v>
      </c>
      <c r="C172" s="1" t="s">
        <v>1318</v>
      </c>
      <c r="D172" s="1" t="s">
        <v>10702</v>
      </c>
      <c r="E172" s="1" t="str">
        <f>"5965"</f>
        <v>5965</v>
      </c>
      <c r="F172" s="1" t="str">
        <f>"016144615"</f>
        <v>016144615</v>
      </c>
      <c r="G172" s="1" t="s">
        <v>10701</v>
      </c>
      <c r="H172" s="1" t="s">
        <v>15</v>
      </c>
      <c r="I172" s="3" t="str">
        <f>"3"</f>
        <v>3</v>
      </c>
      <c r="J172" s="3">
        <v>2502.9</v>
      </c>
      <c r="K172" s="2">
        <v>45863</v>
      </c>
      <c r="L172" s="2">
        <v>45874</v>
      </c>
      <c r="M172" s="1" t="s">
        <v>10700</v>
      </c>
      <c r="N172" s="1" t="s">
        <v>10699</v>
      </c>
    </row>
    <row r="173" spans="1:14" x14ac:dyDescent="0.35">
      <c r="A173" s="1" t="s">
        <v>10574</v>
      </c>
      <c r="B173" s="3" t="s">
        <v>93</v>
      </c>
      <c r="C173" s="1" t="s">
        <v>109</v>
      </c>
      <c r="D173" s="1" t="s">
        <v>10698</v>
      </c>
      <c r="E173" s="1" t="str">
        <f>"7320"</f>
        <v>7320</v>
      </c>
      <c r="F173" s="1" t="s">
        <v>6996</v>
      </c>
      <c r="G173" s="1" t="s">
        <v>6995</v>
      </c>
      <c r="H173" s="1" t="s">
        <v>15</v>
      </c>
      <c r="I173" s="3" t="str">
        <f>"1"</f>
        <v>1</v>
      </c>
      <c r="J173" s="3">
        <v>2086.7800000000002</v>
      </c>
      <c r="K173" s="2">
        <v>45871</v>
      </c>
      <c r="L173" s="2">
        <v>45873</v>
      </c>
      <c r="M173" s="1" t="s">
        <v>10697</v>
      </c>
      <c r="N173" s="1" t="s">
        <v>10689</v>
      </c>
    </row>
    <row r="174" spans="1:14" x14ac:dyDescent="0.35">
      <c r="A174" s="1" t="s">
        <v>10574</v>
      </c>
      <c r="B174" s="3" t="s">
        <v>93</v>
      </c>
      <c r="C174" s="1" t="s">
        <v>109</v>
      </c>
      <c r="D174" s="1" t="s">
        <v>10696</v>
      </c>
      <c r="E174" s="1" t="str">
        <f>"7310"</f>
        <v>7310</v>
      </c>
      <c r="F174" s="1" t="s">
        <v>10695</v>
      </c>
      <c r="G174" s="1" t="s">
        <v>10694</v>
      </c>
      <c r="H174" s="1" t="s">
        <v>15</v>
      </c>
      <c r="I174" s="3" t="str">
        <f>"2"</f>
        <v>2</v>
      </c>
      <c r="J174" s="3">
        <v>13151.15</v>
      </c>
      <c r="K174" s="2">
        <v>45871</v>
      </c>
      <c r="L174" s="2">
        <v>45873</v>
      </c>
      <c r="M174" s="1" t="s">
        <v>10693</v>
      </c>
      <c r="N174" s="1" t="s">
        <v>10689</v>
      </c>
    </row>
    <row r="175" spans="1:14" x14ac:dyDescent="0.35">
      <c r="A175" s="1" t="s">
        <v>10574</v>
      </c>
      <c r="B175" s="3" t="s">
        <v>93</v>
      </c>
      <c r="C175" s="1" t="s">
        <v>109</v>
      </c>
      <c r="D175" s="1" t="s">
        <v>10692</v>
      </c>
      <c r="E175" s="1" t="str">
        <f>"4110"</f>
        <v>4110</v>
      </c>
      <c r="F175" s="1" t="str">
        <f>"015925738"</f>
        <v>015925738</v>
      </c>
      <c r="G175" s="1" t="s">
        <v>10691</v>
      </c>
      <c r="H175" s="1" t="s">
        <v>15</v>
      </c>
      <c r="I175" s="3" t="str">
        <f>"1"</f>
        <v>1</v>
      </c>
      <c r="J175" s="3">
        <v>6819.92</v>
      </c>
      <c r="K175" s="2">
        <v>45871</v>
      </c>
      <c r="L175" s="2">
        <v>45873</v>
      </c>
      <c r="M175" s="1" t="s">
        <v>10690</v>
      </c>
      <c r="N175" s="1" t="s">
        <v>10689</v>
      </c>
    </row>
    <row r="176" spans="1:14" x14ac:dyDescent="0.35">
      <c r="A176" s="1" t="s">
        <v>10574</v>
      </c>
      <c r="B176" s="3" t="s">
        <v>2000</v>
      </c>
      <c r="C176" s="1" t="s">
        <v>2078</v>
      </c>
      <c r="D176" s="1" t="s">
        <v>10688</v>
      </c>
      <c r="E176" s="1" t="str">
        <f>"5180"</f>
        <v>5180</v>
      </c>
      <c r="F176" s="1" t="s">
        <v>1177</v>
      </c>
      <c r="G176" s="1" t="s">
        <v>1178</v>
      </c>
      <c r="H176" s="1" t="s">
        <v>15</v>
      </c>
      <c r="I176" s="3" t="str">
        <f>"5"</f>
        <v>5</v>
      </c>
      <c r="J176" s="3" t="str">
        <f>"6776"</f>
        <v>6776</v>
      </c>
      <c r="K176" s="2">
        <v>45871</v>
      </c>
      <c r="L176" s="2">
        <v>45873</v>
      </c>
      <c r="M176" s="1" t="s">
        <v>10687</v>
      </c>
    </row>
    <row r="177" spans="1:14" x14ac:dyDescent="0.35">
      <c r="A177" s="1" t="s">
        <v>10574</v>
      </c>
      <c r="B177" s="3" t="s">
        <v>2000</v>
      </c>
      <c r="C177" s="1" t="s">
        <v>2078</v>
      </c>
      <c r="D177" s="1" t="s">
        <v>10686</v>
      </c>
      <c r="E177" s="1" t="str">
        <f>"4240"</f>
        <v>4240</v>
      </c>
      <c r="F177" s="1" t="str">
        <f>"014861946"</f>
        <v>014861946</v>
      </c>
      <c r="G177" s="1" t="s">
        <v>10685</v>
      </c>
      <c r="H177" s="1" t="s">
        <v>15</v>
      </c>
      <c r="I177" s="3" t="str">
        <f>"16"</f>
        <v>16</v>
      </c>
      <c r="J177" s="3">
        <v>3967.74</v>
      </c>
      <c r="K177" s="2">
        <v>45871</v>
      </c>
      <c r="L177" s="2">
        <v>45873</v>
      </c>
      <c r="M177" s="1" t="s">
        <v>10684</v>
      </c>
    </row>
    <row r="178" spans="1:14" x14ac:dyDescent="0.35">
      <c r="A178" s="1" t="s">
        <v>10574</v>
      </c>
      <c r="B178" s="3" t="s">
        <v>93</v>
      </c>
      <c r="C178" s="1" t="s">
        <v>319</v>
      </c>
      <c r="D178" s="1" t="s">
        <v>10683</v>
      </c>
      <c r="E178" s="1" t="str">
        <f>"4920"</f>
        <v>4920</v>
      </c>
      <c r="F178" s="1" t="str">
        <f>"012871303"</f>
        <v>012871303</v>
      </c>
      <c r="G178" s="1" t="s">
        <v>10682</v>
      </c>
      <c r="H178" s="1" t="s">
        <v>15</v>
      </c>
      <c r="I178" s="3" t="str">
        <f>"1"</f>
        <v>1</v>
      </c>
      <c r="J178" s="3">
        <v>25502.799999999999</v>
      </c>
      <c r="K178" s="2">
        <v>45841</v>
      </c>
      <c r="L178" s="2">
        <v>45869</v>
      </c>
      <c r="M178" s="1" t="s">
        <v>10681</v>
      </c>
      <c r="N178" s="1" t="s">
        <v>10680</v>
      </c>
    </row>
    <row r="179" spans="1:14" x14ac:dyDescent="0.35">
      <c r="A179" s="1" t="s">
        <v>10574</v>
      </c>
      <c r="B179" s="3" t="s">
        <v>1317</v>
      </c>
      <c r="C179" s="1" t="s">
        <v>1364</v>
      </c>
      <c r="D179" s="1" t="s">
        <v>10679</v>
      </c>
      <c r="E179" s="1" t="str">
        <f>"7830"</f>
        <v>7830</v>
      </c>
      <c r="F179" s="1" t="s">
        <v>42</v>
      </c>
      <c r="G179" s="1" t="s">
        <v>43</v>
      </c>
      <c r="H179" s="1" t="s">
        <v>15</v>
      </c>
      <c r="I179" s="3" t="str">
        <f>"1"</f>
        <v>1</v>
      </c>
      <c r="J179" s="3">
        <v>5009.67</v>
      </c>
      <c r="K179" s="2">
        <v>45838</v>
      </c>
      <c r="L179" s="2">
        <v>45869</v>
      </c>
      <c r="M179" s="1" t="s">
        <v>1368</v>
      </c>
      <c r="N179" s="1" t="s">
        <v>10678</v>
      </c>
    </row>
    <row r="180" spans="1:14" x14ac:dyDescent="0.35">
      <c r="A180" s="1" t="s">
        <v>10574</v>
      </c>
      <c r="B180" s="3" t="s">
        <v>806</v>
      </c>
      <c r="C180" s="1" t="s">
        <v>7245</v>
      </c>
      <c r="D180" s="1" t="s">
        <v>10677</v>
      </c>
      <c r="E180" s="1" t="str">
        <f>"6515"</f>
        <v>6515</v>
      </c>
      <c r="F180" s="1" t="s">
        <v>4800</v>
      </c>
      <c r="G180" s="1" t="s">
        <v>1214</v>
      </c>
      <c r="H180" s="1" t="s">
        <v>15</v>
      </c>
      <c r="I180" s="3" t="str">
        <f>"71"</f>
        <v>71</v>
      </c>
      <c r="J180" s="3">
        <v>345.75</v>
      </c>
      <c r="K180" s="2">
        <v>45832</v>
      </c>
      <c r="L180" s="2">
        <v>45869</v>
      </c>
      <c r="M180" s="1" t="s">
        <v>7242</v>
      </c>
      <c r="N180" s="1" t="s">
        <v>10674</v>
      </c>
    </row>
    <row r="181" spans="1:14" x14ac:dyDescent="0.35">
      <c r="A181" s="1" t="s">
        <v>10574</v>
      </c>
      <c r="B181" s="3" t="s">
        <v>806</v>
      </c>
      <c r="C181" s="1" t="s">
        <v>7245</v>
      </c>
      <c r="D181" s="1" t="s">
        <v>10676</v>
      </c>
      <c r="E181" s="1" t="str">
        <f>"1680"</f>
        <v>1680</v>
      </c>
      <c r="F181" s="1" t="str">
        <f>"003350124"</f>
        <v>003350124</v>
      </c>
      <c r="G181" s="1" t="s">
        <v>10675</v>
      </c>
      <c r="H181" s="1" t="s">
        <v>15</v>
      </c>
      <c r="I181" s="3" t="str">
        <f>"2"</f>
        <v>2</v>
      </c>
      <c r="J181" s="3">
        <v>455.92</v>
      </c>
      <c r="K181" s="2">
        <v>45832</v>
      </c>
      <c r="L181" s="2">
        <v>45869</v>
      </c>
      <c r="M181" s="1" t="s">
        <v>7242</v>
      </c>
      <c r="N181" s="1" t="s">
        <v>10674</v>
      </c>
    </row>
    <row r="182" spans="1:14" x14ac:dyDescent="0.35">
      <c r="A182" s="1" t="s">
        <v>10574</v>
      </c>
      <c r="B182" s="3" t="s">
        <v>847</v>
      </c>
      <c r="C182" s="1" t="s">
        <v>10673</v>
      </c>
      <c r="D182" s="1" t="s">
        <v>10672</v>
      </c>
      <c r="E182" s="1" t="str">
        <f>"2320"</f>
        <v>2320</v>
      </c>
      <c r="F182" s="1" t="str">
        <f>"013469317"</f>
        <v>013469317</v>
      </c>
      <c r="G182" s="1" t="s">
        <v>604</v>
      </c>
      <c r="H182" s="1" t="s">
        <v>15</v>
      </c>
      <c r="I182" s="3" t="str">
        <f>"1"</f>
        <v>1</v>
      </c>
      <c r="J182" s="3" t="str">
        <f>"94171"</f>
        <v>94171</v>
      </c>
      <c r="K182" s="2">
        <v>45862</v>
      </c>
      <c r="L182" s="2">
        <v>45868</v>
      </c>
      <c r="M182" s="1" t="s">
        <v>10671</v>
      </c>
      <c r="N182" s="1" t="s">
        <v>10670</v>
      </c>
    </row>
    <row r="183" spans="1:14" x14ac:dyDescent="0.35">
      <c r="A183" s="1" t="s">
        <v>10574</v>
      </c>
      <c r="B183" s="3" t="s">
        <v>2638</v>
      </c>
      <c r="C183" s="1" t="s">
        <v>2677</v>
      </c>
      <c r="D183" s="1" t="s">
        <v>10669</v>
      </c>
      <c r="E183" s="1" t="str">
        <f>"5820"</f>
        <v>5820</v>
      </c>
      <c r="F183" s="1" t="str">
        <f>"016266241"</f>
        <v>016266241</v>
      </c>
      <c r="G183" s="1" t="s">
        <v>2679</v>
      </c>
      <c r="H183" s="1" t="s">
        <v>15</v>
      </c>
      <c r="I183" s="3" t="str">
        <f>"35"</f>
        <v>35</v>
      </c>
      <c r="J183" s="3" t="str">
        <f>"54100"</f>
        <v>54100</v>
      </c>
      <c r="K183" s="2">
        <v>45866</v>
      </c>
      <c r="L183" s="2">
        <v>45866</v>
      </c>
      <c r="M183" s="1" t="s">
        <v>10668</v>
      </c>
    </row>
    <row r="184" spans="1:14" x14ac:dyDescent="0.35">
      <c r="A184" s="1" t="s">
        <v>10574</v>
      </c>
      <c r="B184" s="3" t="s">
        <v>2720</v>
      </c>
      <c r="C184" s="1" t="s">
        <v>2931</v>
      </c>
      <c r="D184" s="1" t="s">
        <v>10667</v>
      </c>
      <c r="E184" s="1" t="str">
        <f>"8140"</f>
        <v>8140</v>
      </c>
      <c r="F184" s="1" t="str">
        <f>"010777337"</f>
        <v>010777337</v>
      </c>
      <c r="G184" s="1" t="s">
        <v>10666</v>
      </c>
      <c r="H184" s="1" t="s">
        <v>15</v>
      </c>
      <c r="I184" s="3" t="str">
        <f>"6"</f>
        <v>6</v>
      </c>
      <c r="J184" s="3" t="str">
        <f>"230"</f>
        <v>230</v>
      </c>
      <c r="K184" s="2">
        <v>45860</v>
      </c>
      <c r="L184" s="2">
        <v>45866</v>
      </c>
      <c r="M184" s="1" t="s">
        <v>10665</v>
      </c>
      <c r="N184" s="1" t="s">
        <v>10585</v>
      </c>
    </row>
    <row r="185" spans="1:14" x14ac:dyDescent="0.35">
      <c r="A185" s="1" t="s">
        <v>10574</v>
      </c>
      <c r="B185" s="3" t="s">
        <v>2248</v>
      </c>
      <c r="C185" s="1" t="s">
        <v>2375</v>
      </c>
      <c r="D185" s="1" t="s">
        <v>10664</v>
      </c>
      <c r="E185" s="1" t="str">
        <f>"5855"</f>
        <v>5855</v>
      </c>
      <c r="F185" s="1" t="s">
        <v>285</v>
      </c>
      <c r="G185" s="1" t="s">
        <v>286</v>
      </c>
      <c r="H185" s="1" t="s">
        <v>15</v>
      </c>
      <c r="I185" s="3" t="str">
        <f>"25"</f>
        <v>25</v>
      </c>
      <c r="J185" s="3" t="str">
        <f>"10000"</f>
        <v>10000</v>
      </c>
      <c r="K185" s="2">
        <v>45863</v>
      </c>
      <c r="L185" s="2">
        <v>45863</v>
      </c>
      <c r="M185" s="1" t="s">
        <v>10663</v>
      </c>
      <c r="N185" s="1" t="s">
        <v>4387</v>
      </c>
    </row>
    <row r="186" spans="1:14" x14ac:dyDescent="0.35">
      <c r="A186" s="1" t="s">
        <v>10574</v>
      </c>
      <c r="B186" s="3" t="s">
        <v>93</v>
      </c>
      <c r="C186" s="1" t="s">
        <v>267</v>
      </c>
      <c r="D186" s="1" t="s">
        <v>10662</v>
      </c>
      <c r="E186" s="1" t="str">
        <f>"2320"</f>
        <v>2320</v>
      </c>
      <c r="F186" s="1" t="str">
        <f>"014474938"</f>
        <v>014474938</v>
      </c>
      <c r="G186" s="1" t="s">
        <v>117</v>
      </c>
      <c r="H186" s="1" t="s">
        <v>15</v>
      </c>
      <c r="I186" s="3" t="str">
        <f>"1"</f>
        <v>1</v>
      </c>
      <c r="J186" s="3" t="str">
        <f>"230363"</f>
        <v>230363</v>
      </c>
      <c r="K186" s="2">
        <v>45862</v>
      </c>
      <c r="L186" s="2">
        <v>45863</v>
      </c>
      <c r="M186" s="1" t="s">
        <v>10661</v>
      </c>
      <c r="N186" s="1" t="s">
        <v>10608</v>
      </c>
    </row>
    <row r="187" spans="1:14" x14ac:dyDescent="0.35">
      <c r="A187" s="1" t="s">
        <v>10574</v>
      </c>
      <c r="B187" s="3" t="s">
        <v>3105</v>
      </c>
      <c r="C187" s="1" t="s">
        <v>3141</v>
      </c>
      <c r="D187" s="1" t="s">
        <v>10660</v>
      </c>
      <c r="E187" s="1" t="str">
        <f>"5855"</f>
        <v>5855</v>
      </c>
      <c r="F187" s="1" t="str">
        <f>"015345931"</f>
        <v>015345931</v>
      </c>
      <c r="G187" s="1" t="s">
        <v>703</v>
      </c>
      <c r="H187" s="1" t="s">
        <v>15</v>
      </c>
      <c r="I187" s="3" t="str">
        <f>"4"</f>
        <v>4</v>
      </c>
      <c r="J187" s="3" t="str">
        <f>"976"</f>
        <v>976</v>
      </c>
      <c r="K187" s="2">
        <v>45862</v>
      </c>
      <c r="L187" s="2">
        <v>45863</v>
      </c>
      <c r="M187" s="1" t="s">
        <v>3145</v>
      </c>
    </row>
    <row r="188" spans="1:14" x14ac:dyDescent="0.35">
      <c r="A188" s="1" t="s">
        <v>10574</v>
      </c>
      <c r="B188" s="3" t="s">
        <v>93</v>
      </c>
      <c r="C188" s="1" t="s">
        <v>109</v>
      </c>
      <c r="D188" s="1" t="s">
        <v>10659</v>
      </c>
      <c r="E188" s="1" t="str">
        <f>"2320"</f>
        <v>2320</v>
      </c>
      <c r="F188" s="1" t="str">
        <f>"007529812"</f>
        <v>007529812</v>
      </c>
      <c r="G188" s="1" t="s">
        <v>1799</v>
      </c>
      <c r="H188" s="1" t="s">
        <v>15</v>
      </c>
      <c r="I188" s="3" t="str">
        <f>"1"</f>
        <v>1</v>
      </c>
      <c r="J188" s="3" t="str">
        <f>"21046"</f>
        <v>21046</v>
      </c>
      <c r="K188" s="2">
        <v>45860</v>
      </c>
      <c r="L188" s="2">
        <v>45863</v>
      </c>
      <c r="M188" s="1" t="s">
        <v>10658</v>
      </c>
    </row>
    <row r="189" spans="1:14" x14ac:dyDescent="0.35">
      <c r="A189" s="1" t="s">
        <v>10574</v>
      </c>
      <c r="B189" s="3" t="s">
        <v>93</v>
      </c>
      <c r="C189" s="1" t="s">
        <v>109</v>
      </c>
      <c r="D189" s="1" t="s">
        <v>10657</v>
      </c>
      <c r="E189" s="1" t="str">
        <f>"2320"</f>
        <v>2320</v>
      </c>
      <c r="F189" s="1" t="str">
        <f>"014364773"</f>
        <v>014364773</v>
      </c>
      <c r="G189" s="1" t="s">
        <v>117</v>
      </c>
      <c r="H189" s="1" t="s">
        <v>15</v>
      </c>
      <c r="I189" s="3" t="str">
        <f>"1"</f>
        <v>1</v>
      </c>
      <c r="J189" s="3" t="str">
        <f>"21046"</f>
        <v>21046</v>
      </c>
      <c r="K189" s="2">
        <v>45860</v>
      </c>
      <c r="L189" s="2">
        <v>45863</v>
      </c>
      <c r="M189" s="1" t="s">
        <v>10656</v>
      </c>
    </row>
    <row r="190" spans="1:14" x14ac:dyDescent="0.35">
      <c r="A190" s="1" t="s">
        <v>10574</v>
      </c>
      <c r="B190" s="3" t="s">
        <v>2720</v>
      </c>
      <c r="C190" s="1" t="s">
        <v>2779</v>
      </c>
      <c r="D190" s="1" t="s">
        <v>10655</v>
      </c>
      <c r="E190" s="1" t="str">
        <f>"8415"</f>
        <v>8415</v>
      </c>
      <c r="F190" s="1" t="s">
        <v>1359</v>
      </c>
      <c r="G190" s="1" t="s">
        <v>1360</v>
      </c>
      <c r="H190" s="1" t="s">
        <v>15</v>
      </c>
      <c r="I190" s="3" t="str">
        <f>"12"</f>
        <v>12</v>
      </c>
      <c r="J190" s="3">
        <v>51.4</v>
      </c>
      <c r="K190" s="2">
        <v>45856</v>
      </c>
      <c r="L190" s="2">
        <v>45859</v>
      </c>
      <c r="M190" s="1" t="s">
        <v>10654</v>
      </c>
      <c r="N190" s="1" t="s">
        <v>10646</v>
      </c>
    </row>
    <row r="191" spans="1:14" x14ac:dyDescent="0.35">
      <c r="A191" s="1" t="s">
        <v>10574</v>
      </c>
      <c r="B191" s="3" t="s">
        <v>2720</v>
      </c>
      <c r="C191" s="1" t="s">
        <v>2779</v>
      </c>
      <c r="D191" s="1" t="s">
        <v>10653</v>
      </c>
      <c r="E191" s="1" t="str">
        <f>"8405"</f>
        <v>8405</v>
      </c>
      <c r="F191" s="1" t="s">
        <v>2813</v>
      </c>
      <c r="G191" s="1" t="s">
        <v>2814</v>
      </c>
      <c r="H191" s="1" t="s">
        <v>15</v>
      </c>
      <c r="I191" s="3" t="str">
        <f>"43"</f>
        <v>43</v>
      </c>
      <c r="J191" s="3">
        <v>65.33</v>
      </c>
      <c r="K191" s="2">
        <v>45856</v>
      </c>
      <c r="L191" s="2">
        <v>45859</v>
      </c>
      <c r="M191" s="1" t="s">
        <v>10649</v>
      </c>
      <c r="N191" s="1" t="s">
        <v>10646</v>
      </c>
    </row>
    <row r="192" spans="1:14" x14ac:dyDescent="0.35">
      <c r="A192" s="1" t="s">
        <v>10574</v>
      </c>
      <c r="B192" s="3" t="s">
        <v>2720</v>
      </c>
      <c r="C192" s="1" t="s">
        <v>2779</v>
      </c>
      <c r="D192" s="1" t="s">
        <v>10652</v>
      </c>
      <c r="E192" s="1" t="str">
        <f>"8405"</f>
        <v>8405</v>
      </c>
      <c r="F192" s="1" t="s">
        <v>2813</v>
      </c>
      <c r="G192" s="1" t="s">
        <v>2814</v>
      </c>
      <c r="H192" s="1" t="s">
        <v>15</v>
      </c>
      <c r="I192" s="3" t="str">
        <f>"20"</f>
        <v>20</v>
      </c>
      <c r="J192" s="3">
        <v>65.33</v>
      </c>
      <c r="K192" s="2">
        <v>45856</v>
      </c>
      <c r="L192" s="2">
        <v>45859</v>
      </c>
      <c r="M192" s="1" t="s">
        <v>10649</v>
      </c>
      <c r="N192" s="1" t="s">
        <v>10646</v>
      </c>
    </row>
    <row r="193" spans="1:14" x14ac:dyDescent="0.35">
      <c r="A193" s="1" t="s">
        <v>10574</v>
      </c>
      <c r="B193" s="3" t="s">
        <v>2720</v>
      </c>
      <c r="C193" s="1" t="s">
        <v>2779</v>
      </c>
      <c r="D193" s="1" t="s">
        <v>10651</v>
      </c>
      <c r="E193" s="1" t="str">
        <f>"8405"</f>
        <v>8405</v>
      </c>
      <c r="F193" s="1" t="s">
        <v>2813</v>
      </c>
      <c r="G193" s="1" t="s">
        <v>2814</v>
      </c>
      <c r="H193" s="1" t="s">
        <v>15</v>
      </c>
      <c r="I193" s="3" t="str">
        <f>"25"</f>
        <v>25</v>
      </c>
      <c r="J193" s="3">
        <v>65.33</v>
      </c>
      <c r="K193" s="2">
        <v>45856</v>
      </c>
      <c r="L193" s="2">
        <v>45859</v>
      </c>
      <c r="M193" s="1" t="s">
        <v>10649</v>
      </c>
      <c r="N193" s="1" t="s">
        <v>10646</v>
      </c>
    </row>
    <row r="194" spans="1:14" x14ac:dyDescent="0.35">
      <c r="A194" s="1" t="s">
        <v>10574</v>
      </c>
      <c r="B194" s="3" t="s">
        <v>2720</v>
      </c>
      <c r="C194" s="1" t="s">
        <v>2779</v>
      </c>
      <c r="D194" s="1" t="s">
        <v>10650</v>
      </c>
      <c r="E194" s="1" t="str">
        <f>"8415"</f>
        <v>8415</v>
      </c>
      <c r="F194" s="1" t="s">
        <v>1359</v>
      </c>
      <c r="G194" s="1" t="s">
        <v>1360</v>
      </c>
      <c r="H194" s="1" t="s">
        <v>15</v>
      </c>
      <c r="I194" s="3" t="str">
        <f>"28"</f>
        <v>28</v>
      </c>
      <c r="J194" s="3">
        <v>51.4</v>
      </c>
      <c r="K194" s="2">
        <v>45856</v>
      </c>
      <c r="L194" s="2">
        <v>45859</v>
      </c>
      <c r="M194" s="1" t="s">
        <v>10649</v>
      </c>
      <c r="N194" s="1" t="s">
        <v>10646</v>
      </c>
    </row>
    <row r="195" spans="1:14" x14ac:dyDescent="0.35">
      <c r="A195" s="1" t="s">
        <v>10574</v>
      </c>
      <c r="B195" s="3" t="s">
        <v>2720</v>
      </c>
      <c r="C195" s="1" t="s">
        <v>2779</v>
      </c>
      <c r="D195" s="1" t="s">
        <v>10648</v>
      </c>
      <c r="E195" s="1" t="str">
        <f>"5180"</f>
        <v>5180</v>
      </c>
      <c r="F195" s="1" t="s">
        <v>1177</v>
      </c>
      <c r="G195" s="1" t="s">
        <v>1178</v>
      </c>
      <c r="H195" s="1" t="s">
        <v>15</v>
      </c>
      <c r="I195" s="3" t="str">
        <f>"4"</f>
        <v>4</v>
      </c>
      <c r="J195" s="3" t="str">
        <f>"6776"</f>
        <v>6776</v>
      </c>
      <c r="K195" s="2">
        <v>45856</v>
      </c>
      <c r="L195" s="2">
        <v>45859</v>
      </c>
      <c r="M195" s="1" t="s">
        <v>10647</v>
      </c>
      <c r="N195" s="1" t="s">
        <v>10646</v>
      </c>
    </row>
    <row r="196" spans="1:14" x14ac:dyDescent="0.35">
      <c r="A196" s="1" t="s">
        <v>10574</v>
      </c>
      <c r="B196" s="3" t="s">
        <v>1857</v>
      </c>
      <c r="C196" s="1" t="s">
        <v>1897</v>
      </c>
      <c r="D196" s="1" t="s">
        <v>10645</v>
      </c>
      <c r="E196" s="1" t="str">
        <f>"4240"</f>
        <v>4240</v>
      </c>
      <c r="F196" s="1" t="str">
        <f>"015700319"</f>
        <v>015700319</v>
      </c>
      <c r="G196" s="1" t="s">
        <v>830</v>
      </c>
      <c r="H196" s="1" t="s">
        <v>15</v>
      </c>
      <c r="I196" s="3" t="str">
        <f>"192"</f>
        <v>192</v>
      </c>
      <c r="J196" s="3">
        <v>39.07</v>
      </c>
      <c r="K196" s="2">
        <v>45850</v>
      </c>
      <c r="L196" s="2">
        <v>45856</v>
      </c>
      <c r="M196" s="1" t="s">
        <v>1900</v>
      </c>
      <c r="N196" s="1" t="s">
        <v>10642</v>
      </c>
    </row>
    <row r="197" spans="1:14" x14ac:dyDescent="0.35">
      <c r="A197" s="1" t="s">
        <v>10574</v>
      </c>
      <c r="B197" s="3" t="s">
        <v>1857</v>
      </c>
      <c r="C197" s="1" t="s">
        <v>1897</v>
      </c>
      <c r="D197" s="1" t="s">
        <v>10644</v>
      </c>
      <c r="E197" s="1" t="str">
        <f>"4240"</f>
        <v>4240</v>
      </c>
      <c r="F197" s="1" t="str">
        <f>"015835742"</f>
        <v>015835742</v>
      </c>
      <c r="G197" s="1" t="s">
        <v>214</v>
      </c>
      <c r="H197" s="1" t="s">
        <v>15</v>
      </c>
      <c r="I197" s="3" t="str">
        <f>"60"</f>
        <v>60</v>
      </c>
      <c r="J197" s="3">
        <v>64.8</v>
      </c>
      <c r="K197" s="2">
        <v>45850</v>
      </c>
      <c r="L197" s="2">
        <v>45856</v>
      </c>
      <c r="M197" s="1" t="s">
        <v>1900</v>
      </c>
      <c r="N197" s="1" t="s">
        <v>10642</v>
      </c>
    </row>
    <row r="198" spans="1:14" x14ac:dyDescent="0.35">
      <c r="A198" s="1" t="s">
        <v>10574</v>
      </c>
      <c r="B198" s="3" t="s">
        <v>1857</v>
      </c>
      <c r="C198" s="1" t="s">
        <v>1897</v>
      </c>
      <c r="D198" s="1" t="s">
        <v>10643</v>
      </c>
      <c r="E198" s="1" t="str">
        <f>"1240"</f>
        <v>1240</v>
      </c>
      <c r="F198" s="1" t="str">
        <f>"015350972"</f>
        <v>015350972</v>
      </c>
      <c r="G198" s="1" t="s">
        <v>1899</v>
      </c>
      <c r="H198" s="1" t="s">
        <v>15</v>
      </c>
      <c r="I198" s="3" t="str">
        <f>"250"</f>
        <v>250</v>
      </c>
      <c r="J198" s="3">
        <v>12.11</v>
      </c>
      <c r="K198" s="2">
        <v>45850</v>
      </c>
      <c r="L198" s="2">
        <v>45856</v>
      </c>
      <c r="M198" s="1" t="s">
        <v>1900</v>
      </c>
      <c r="N198" s="1" t="s">
        <v>10642</v>
      </c>
    </row>
    <row r="199" spans="1:14" x14ac:dyDescent="0.35">
      <c r="A199" s="1" t="s">
        <v>10574</v>
      </c>
      <c r="B199" s="3" t="s">
        <v>1857</v>
      </c>
      <c r="C199" s="1" t="s">
        <v>1897</v>
      </c>
      <c r="D199" s="1" t="s">
        <v>10641</v>
      </c>
      <c r="E199" s="1" t="str">
        <f>"1240"</f>
        <v>1240</v>
      </c>
      <c r="F199" s="1" t="str">
        <f>"015350972"</f>
        <v>015350972</v>
      </c>
      <c r="G199" s="1" t="s">
        <v>1899</v>
      </c>
      <c r="H199" s="1" t="s">
        <v>15</v>
      </c>
      <c r="I199" s="3" t="str">
        <f>"693"</f>
        <v>693</v>
      </c>
      <c r="J199" s="3">
        <v>12.11</v>
      </c>
      <c r="K199" s="2">
        <v>45850</v>
      </c>
      <c r="L199" s="2">
        <v>45856</v>
      </c>
      <c r="M199" s="1" t="s">
        <v>1900</v>
      </c>
      <c r="N199" s="1" t="s">
        <v>10640</v>
      </c>
    </row>
    <row r="200" spans="1:14" x14ac:dyDescent="0.35">
      <c r="A200" s="1" t="s">
        <v>10574</v>
      </c>
      <c r="B200" s="3" t="s">
        <v>4087</v>
      </c>
      <c r="C200" s="1" t="s">
        <v>10637</v>
      </c>
      <c r="D200" s="1" t="s">
        <v>10639</v>
      </c>
      <c r="E200" s="1" t="str">
        <f>"7110"</f>
        <v>7110</v>
      </c>
      <c r="F200" s="1" t="str">
        <f>"016145432"</f>
        <v>016145432</v>
      </c>
      <c r="G200" s="1" t="s">
        <v>423</v>
      </c>
      <c r="H200" s="1" t="s">
        <v>15</v>
      </c>
      <c r="I200" s="3" t="str">
        <f>"1"</f>
        <v>1</v>
      </c>
      <c r="J200" s="3">
        <v>4636.8</v>
      </c>
      <c r="K200" s="2">
        <v>45831</v>
      </c>
      <c r="L200" s="2">
        <v>45855</v>
      </c>
      <c r="M200" s="1" t="s">
        <v>10638</v>
      </c>
      <c r="N200" s="1" t="s">
        <v>10634</v>
      </c>
    </row>
    <row r="201" spans="1:14" x14ac:dyDescent="0.35">
      <c r="A201" s="1" t="s">
        <v>10574</v>
      </c>
      <c r="B201" s="3" t="s">
        <v>4087</v>
      </c>
      <c r="C201" s="1" t="s">
        <v>10637</v>
      </c>
      <c r="D201" s="1" t="s">
        <v>10636</v>
      </c>
      <c r="E201" s="1" t="str">
        <f>"7110"</f>
        <v>7110</v>
      </c>
      <c r="F201" s="1" t="str">
        <f>"009209342"</f>
        <v>009209342</v>
      </c>
      <c r="G201" s="1" t="s">
        <v>423</v>
      </c>
      <c r="H201" s="1" t="s">
        <v>15</v>
      </c>
      <c r="I201" s="3" t="str">
        <f>"1"</f>
        <v>1</v>
      </c>
      <c r="J201" s="3">
        <v>4636.8</v>
      </c>
      <c r="K201" s="2">
        <v>45831</v>
      </c>
      <c r="L201" s="2">
        <v>45855</v>
      </c>
      <c r="M201" s="1" t="s">
        <v>10635</v>
      </c>
      <c r="N201" s="1" t="s">
        <v>10634</v>
      </c>
    </row>
    <row r="202" spans="1:14" x14ac:dyDescent="0.35">
      <c r="A202" s="1" t="s">
        <v>10574</v>
      </c>
      <c r="B202" s="3" t="s">
        <v>1857</v>
      </c>
      <c r="C202" s="1" t="s">
        <v>1858</v>
      </c>
      <c r="D202" s="1" t="s">
        <v>10633</v>
      </c>
      <c r="E202" s="1" t="str">
        <f>"6115"</f>
        <v>6115</v>
      </c>
      <c r="F202" s="1" t="str">
        <f>"013199033"</f>
        <v>013199033</v>
      </c>
      <c r="G202" s="1" t="s">
        <v>1775</v>
      </c>
      <c r="H202" s="1" t="s">
        <v>15</v>
      </c>
      <c r="I202" s="3" t="str">
        <f>"1"</f>
        <v>1</v>
      </c>
      <c r="J202" s="3" t="str">
        <f>"18183"</f>
        <v>18183</v>
      </c>
      <c r="K202" s="2">
        <v>45852</v>
      </c>
      <c r="L202" s="2">
        <v>45854</v>
      </c>
      <c r="M202" s="1" t="s">
        <v>10631</v>
      </c>
      <c r="N202" s="1" t="s">
        <v>10630</v>
      </c>
    </row>
    <row r="203" spans="1:14" x14ac:dyDescent="0.35">
      <c r="A203" s="1" t="s">
        <v>10574</v>
      </c>
      <c r="B203" s="3" t="s">
        <v>1857</v>
      </c>
      <c r="C203" s="1" t="s">
        <v>1858</v>
      </c>
      <c r="D203" s="1" t="s">
        <v>10632</v>
      </c>
      <c r="E203" s="1" t="str">
        <f>"6115"</f>
        <v>6115</v>
      </c>
      <c r="F203" s="1" t="str">
        <f>"013199033"</f>
        <v>013199033</v>
      </c>
      <c r="G203" s="1" t="s">
        <v>1775</v>
      </c>
      <c r="H203" s="1" t="s">
        <v>15</v>
      </c>
      <c r="I203" s="3" t="str">
        <f>"1"</f>
        <v>1</v>
      </c>
      <c r="J203" s="3" t="str">
        <f>"18183"</f>
        <v>18183</v>
      </c>
      <c r="K203" s="2">
        <v>45852</v>
      </c>
      <c r="L203" s="2">
        <v>45854</v>
      </c>
      <c r="M203" s="1" t="s">
        <v>10631</v>
      </c>
      <c r="N203" s="1" t="s">
        <v>10630</v>
      </c>
    </row>
    <row r="204" spans="1:14" x14ac:dyDescent="0.35">
      <c r="A204" s="1" t="s">
        <v>10574</v>
      </c>
      <c r="B204" s="3" t="s">
        <v>5157</v>
      </c>
      <c r="C204" s="1" t="s">
        <v>5156</v>
      </c>
      <c r="D204" s="1" t="s">
        <v>10629</v>
      </c>
      <c r="E204" s="1" t="str">
        <f>"5855"</f>
        <v>5855</v>
      </c>
      <c r="F204" s="1" t="str">
        <f>"014935907"</f>
        <v>014935907</v>
      </c>
      <c r="G204" s="1" t="s">
        <v>5611</v>
      </c>
      <c r="H204" s="1" t="s">
        <v>19</v>
      </c>
      <c r="I204" s="3" t="str">
        <f>"1"</f>
        <v>1</v>
      </c>
      <c r="J204" s="3" t="str">
        <f>"14256"</f>
        <v>14256</v>
      </c>
      <c r="K204" s="2">
        <v>45851</v>
      </c>
      <c r="L204" s="2">
        <v>45853</v>
      </c>
      <c r="M204" s="1" t="s">
        <v>10628</v>
      </c>
      <c r="N204" s="1" t="s">
        <v>10627</v>
      </c>
    </row>
    <row r="205" spans="1:14" x14ac:dyDescent="0.35">
      <c r="A205" s="1" t="s">
        <v>10574</v>
      </c>
      <c r="B205" s="3" t="s">
        <v>806</v>
      </c>
      <c r="C205" s="1" t="s">
        <v>1000</v>
      </c>
      <c r="D205" s="1" t="s">
        <v>10626</v>
      </c>
      <c r="E205" s="1" t="str">
        <f>"4240"</f>
        <v>4240</v>
      </c>
      <c r="F205" s="1" t="str">
        <f>"015835742"</f>
        <v>015835742</v>
      </c>
      <c r="G205" s="1" t="s">
        <v>214</v>
      </c>
      <c r="H205" s="1" t="s">
        <v>15</v>
      </c>
      <c r="I205" s="3" t="str">
        <f>"20"</f>
        <v>20</v>
      </c>
      <c r="J205" s="3">
        <v>64.8</v>
      </c>
      <c r="K205" s="2">
        <v>45849</v>
      </c>
      <c r="L205" s="2">
        <v>45852</v>
      </c>
      <c r="M205" s="1" t="s">
        <v>1025</v>
      </c>
      <c r="N205" s="1" t="s">
        <v>10623</v>
      </c>
    </row>
    <row r="206" spans="1:14" x14ac:dyDescent="0.35">
      <c r="A206" s="1" t="s">
        <v>10574</v>
      </c>
      <c r="B206" s="3" t="s">
        <v>806</v>
      </c>
      <c r="C206" s="1" t="s">
        <v>1000</v>
      </c>
      <c r="D206" s="1" t="s">
        <v>10625</v>
      </c>
      <c r="E206" s="1" t="str">
        <f>"4240"</f>
        <v>4240</v>
      </c>
      <c r="F206" s="1" t="str">
        <f>"015700319"</f>
        <v>015700319</v>
      </c>
      <c r="G206" s="1" t="s">
        <v>830</v>
      </c>
      <c r="H206" s="1" t="s">
        <v>15</v>
      </c>
      <c r="I206" s="3" t="str">
        <f>"40"</f>
        <v>40</v>
      </c>
      <c r="J206" s="3">
        <v>39.07</v>
      </c>
      <c r="K206" s="2">
        <v>45849</v>
      </c>
      <c r="L206" s="2">
        <v>45852</v>
      </c>
      <c r="M206" s="1" t="s">
        <v>10624</v>
      </c>
      <c r="N206" s="1" t="s">
        <v>10623</v>
      </c>
    </row>
    <row r="207" spans="1:14" x14ac:dyDescent="0.35">
      <c r="A207" s="1" t="s">
        <v>10574</v>
      </c>
      <c r="B207" s="3" t="s">
        <v>1445</v>
      </c>
      <c r="C207" s="1" t="s">
        <v>1459</v>
      </c>
      <c r="D207" s="1" t="s">
        <v>10622</v>
      </c>
      <c r="E207" s="1" t="str">
        <f>"7025"</f>
        <v>7025</v>
      </c>
      <c r="F207" s="1" t="s">
        <v>10621</v>
      </c>
      <c r="G207" s="1" t="s">
        <v>10620</v>
      </c>
      <c r="H207" s="1" t="s">
        <v>15</v>
      </c>
      <c r="I207" s="3" t="str">
        <f>"1"</f>
        <v>1</v>
      </c>
      <c r="J207" s="3" t="str">
        <f>"482"</f>
        <v>482</v>
      </c>
      <c r="K207" s="2">
        <v>45847</v>
      </c>
      <c r="L207" s="2">
        <v>45852</v>
      </c>
      <c r="M207" s="1" t="s">
        <v>10619</v>
      </c>
      <c r="N207" s="1" t="s">
        <v>10612</v>
      </c>
    </row>
    <row r="208" spans="1:14" x14ac:dyDescent="0.35">
      <c r="A208" s="1" t="s">
        <v>10574</v>
      </c>
      <c r="B208" s="3" t="s">
        <v>1445</v>
      </c>
      <c r="C208" s="1" t="s">
        <v>1459</v>
      </c>
      <c r="D208" s="1" t="s">
        <v>10618</v>
      </c>
      <c r="E208" s="1" t="str">
        <f>"6720"</f>
        <v>6720</v>
      </c>
      <c r="F208" s="1" t="s">
        <v>443</v>
      </c>
      <c r="G208" s="1" t="s">
        <v>444</v>
      </c>
      <c r="H208" s="1" t="s">
        <v>15</v>
      </c>
      <c r="I208" s="3" t="str">
        <f>"7"</f>
        <v>7</v>
      </c>
      <c r="J208" s="3" t="str">
        <f>"3300"</f>
        <v>3300</v>
      </c>
      <c r="K208" s="2">
        <v>45847</v>
      </c>
      <c r="L208" s="2">
        <v>45852</v>
      </c>
      <c r="M208" s="1" t="s">
        <v>10617</v>
      </c>
      <c r="N208" s="1" t="s">
        <v>10616</v>
      </c>
    </row>
    <row r="209" spans="1:14" x14ac:dyDescent="0.35">
      <c r="A209" s="1" t="s">
        <v>10574</v>
      </c>
      <c r="B209" s="3" t="s">
        <v>1445</v>
      </c>
      <c r="C209" s="1" t="s">
        <v>1459</v>
      </c>
      <c r="D209" s="1" t="s">
        <v>10615</v>
      </c>
      <c r="E209" s="1" t="str">
        <f>"3439"</f>
        <v>3439</v>
      </c>
      <c r="F209" s="1" t="str">
        <f>"008538760"</f>
        <v>008538760</v>
      </c>
      <c r="G209" s="1" t="s">
        <v>10614</v>
      </c>
      <c r="H209" s="1" t="s">
        <v>15</v>
      </c>
      <c r="I209" s="3" t="str">
        <f>"1"</f>
        <v>1</v>
      </c>
      <c r="J209" s="3">
        <v>213.15</v>
      </c>
      <c r="K209" s="2">
        <v>45847</v>
      </c>
      <c r="L209" s="2">
        <v>45852</v>
      </c>
      <c r="M209" s="1" t="s">
        <v>10613</v>
      </c>
      <c r="N209" s="1" t="s">
        <v>10612</v>
      </c>
    </row>
    <row r="210" spans="1:14" x14ac:dyDescent="0.35">
      <c r="A210" s="1" t="s">
        <v>10574</v>
      </c>
      <c r="B210" s="3" t="s">
        <v>1445</v>
      </c>
      <c r="C210" s="1" t="s">
        <v>1459</v>
      </c>
      <c r="D210" s="1" t="s">
        <v>10611</v>
      </c>
      <c r="E210" s="1" t="str">
        <f>"6760"</f>
        <v>6760</v>
      </c>
      <c r="F210" s="1" t="str">
        <f>"015039101"</f>
        <v>015039101</v>
      </c>
      <c r="G210" s="1" t="s">
        <v>886</v>
      </c>
      <c r="H210" s="1" t="s">
        <v>15</v>
      </c>
      <c r="I210" s="3" t="str">
        <f>"15"</f>
        <v>15</v>
      </c>
      <c r="J210" s="3">
        <v>16.68</v>
      </c>
      <c r="K210" s="2">
        <v>45842</v>
      </c>
      <c r="L210" s="2">
        <v>45847</v>
      </c>
      <c r="M210" s="1" t="s">
        <v>1597</v>
      </c>
      <c r="N210" s="1" t="s">
        <v>10605</v>
      </c>
    </row>
    <row r="211" spans="1:14" x14ac:dyDescent="0.35">
      <c r="A211" s="1" t="s">
        <v>10574</v>
      </c>
      <c r="B211" s="3" t="s">
        <v>3513</v>
      </c>
      <c r="C211" s="1" t="s">
        <v>4714</v>
      </c>
      <c r="D211" s="1" t="s">
        <v>10610</v>
      </c>
      <c r="E211" s="1" t="str">
        <f>"4240"</f>
        <v>4240</v>
      </c>
      <c r="F211" s="1" t="str">
        <f>"015045727"</f>
        <v>015045727</v>
      </c>
      <c r="G211" s="1" t="s">
        <v>211</v>
      </c>
      <c r="H211" s="1" t="s">
        <v>15</v>
      </c>
      <c r="I211" s="3" t="str">
        <f>"89"</f>
        <v>89</v>
      </c>
      <c r="J211" s="3">
        <v>71.790000000000006</v>
      </c>
      <c r="K211" s="2">
        <v>45840</v>
      </c>
      <c r="L211" s="2">
        <v>45847</v>
      </c>
      <c r="M211" s="1" t="s">
        <v>10609</v>
      </c>
      <c r="N211" s="1" t="s">
        <v>10608</v>
      </c>
    </row>
    <row r="212" spans="1:14" x14ac:dyDescent="0.35">
      <c r="A212" s="1" t="s">
        <v>10574</v>
      </c>
      <c r="B212" s="3" t="s">
        <v>93</v>
      </c>
      <c r="C212" s="1" t="s">
        <v>247</v>
      </c>
      <c r="D212" s="1" t="s">
        <v>10607</v>
      </c>
      <c r="E212" s="1" t="str">
        <f>"6515"</f>
        <v>6515</v>
      </c>
      <c r="F212" s="1" t="str">
        <f>"014776124"</f>
        <v>014776124</v>
      </c>
      <c r="G212" s="1" t="s">
        <v>10606</v>
      </c>
      <c r="H212" s="1" t="s">
        <v>15</v>
      </c>
      <c r="I212" s="3" t="str">
        <f>"1"</f>
        <v>1</v>
      </c>
      <c r="J212" s="3">
        <v>577.19000000000005</v>
      </c>
      <c r="K212" s="2">
        <v>45835</v>
      </c>
      <c r="L212" s="2">
        <v>45847</v>
      </c>
      <c r="M212" s="1" t="s">
        <v>251</v>
      </c>
      <c r="N212" s="1" t="s">
        <v>10605</v>
      </c>
    </row>
    <row r="213" spans="1:14" x14ac:dyDescent="0.35">
      <c r="A213" s="1" t="s">
        <v>10574</v>
      </c>
      <c r="B213" s="3" t="s">
        <v>1944</v>
      </c>
      <c r="C213" s="1" t="s">
        <v>1945</v>
      </c>
      <c r="D213" s="1" t="s">
        <v>10604</v>
      </c>
      <c r="E213" s="1" t="str">
        <f>"5855"</f>
        <v>5855</v>
      </c>
      <c r="F213" s="1" t="str">
        <f>"014502333"</f>
        <v>014502333</v>
      </c>
      <c r="G213" s="1" t="s">
        <v>1947</v>
      </c>
      <c r="H213" s="1" t="s">
        <v>15</v>
      </c>
      <c r="I213" s="3" t="str">
        <f>"1"</f>
        <v>1</v>
      </c>
      <c r="J213" s="3">
        <v>10398.299999999999</v>
      </c>
      <c r="K213" s="2">
        <v>45845</v>
      </c>
      <c r="L213" s="2">
        <v>45846</v>
      </c>
      <c r="M213" s="1" t="s">
        <v>10603</v>
      </c>
      <c r="N213" s="1" t="s">
        <v>10588</v>
      </c>
    </row>
    <row r="214" spans="1:14" x14ac:dyDescent="0.35">
      <c r="A214" s="1" t="s">
        <v>10574</v>
      </c>
      <c r="B214" s="3" t="s">
        <v>1944</v>
      </c>
      <c r="C214" s="1" t="s">
        <v>1945</v>
      </c>
      <c r="D214" s="1" t="s">
        <v>10602</v>
      </c>
      <c r="E214" s="1" t="str">
        <f>"5855"</f>
        <v>5855</v>
      </c>
      <c r="F214" s="1" t="str">
        <f>"014502333"</f>
        <v>014502333</v>
      </c>
      <c r="G214" s="1" t="s">
        <v>1947</v>
      </c>
      <c r="H214" s="1" t="s">
        <v>15</v>
      </c>
      <c r="I214" s="3" t="str">
        <f>"1"</f>
        <v>1</v>
      </c>
      <c r="J214" s="3">
        <v>10398.299999999999</v>
      </c>
      <c r="K214" s="2">
        <v>45845</v>
      </c>
      <c r="L214" s="2">
        <v>45846</v>
      </c>
      <c r="M214" s="1" t="s">
        <v>10595</v>
      </c>
      <c r="N214" s="1" t="s">
        <v>10588</v>
      </c>
    </row>
    <row r="215" spans="1:14" x14ac:dyDescent="0.35">
      <c r="A215" s="1" t="s">
        <v>10574</v>
      </c>
      <c r="B215" s="3" t="s">
        <v>1944</v>
      </c>
      <c r="C215" s="1" t="s">
        <v>1945</v>
      </c>
      <c r="D215" s="1" t="s">
        <v>10601</v>
      </c>
      <c r="E215" s="1" t="str">
        <f>"5855"</f>
        <v>5855</v>
      </c>
      <c r="F215" s="1" t="str">
        <f>"014502333"</f>
        <v>014502333</v>
      </c>
      <c r="G215" s="1" t="s">
        <v>1947</v>
      </c>
      <c r="H215" s="1" t="s">
        <v>15</v>
      </c>
      <c r="I215" s="3" t="str">
        <f>"1"</f>
        <v>1</v>
      </c>
      <c r="J215" s="3">
        <v>10398.299999999999</v>
      </c>
      <c r="K215" s="2">
        <v>45845</v>
      </c>
      <c r="L215" s="2">
        <v>45846</v>
      </c>
      <c r="M215" s="1" t="s">
        <v>1951</v>
      </c>
      <c r="N215" s="1" t="s">
        <v>10588</v>
      </c>
    </row>
    <row r="216" spans="1:14" x14ac:dyDescent="0.35">
      <c r="A216" s="1" t="s">
        <v>10574</v>
      </c>
      <c r="B216" s="3" t="s">
        <v>1944</v>
      </c>
      <c r="C216" s="1" t="s">
        <v>1945</v>
      </c>
      <c r="D216" s="1" t="s">
        <v>10600</v>
      </c>
      <c r="E216" s="1" t="str">
        <f>"5855"</f>
        <v>5855</v>
      </c>
      <c r="F216" s="1" t="str">
        <f>"014502333"</f>
        <v>014502333</v>
      </c>
      <c r="G216" s="1" t="s">
        <v>1947</v>
      </c>
      <c r="H216" s="1" t="s">
        <v>15</v>
      </c>
      <c r="I216" s="3" t="str">
        <f>"1"</f>
        <v>1</v>
      </c>
      <c r="J216" s="3">
        <v>10398.299999999999</v>
      </c>
      <c r="K216" s="2">
        <v>45845</v>
      </c>
      <c r="L216" s="2">
        <v>45846</v>
      </c>
      <c r="M216" s="1" t="s">
        <v>10595</v>
      </c>
      <c r="N216" s="1" t="s">
        <v>10588</v>
      </c>
    </row>
    <row r="217" spans="1:14" x14ac:dyDescent="0.35">
      <c r="A217" s="1" t="s">
        <v>10574</v>
      </c>
      <c r="B217" s="3" t="s">
        <v>1944</v>
      </c>
      <c r="C217" s="1" t="s">
        <v>1945</v>
      </c>
      <c r="D217" s="1" t="s">
        <v>10599</v>
      </c>
      <c r="E217" s="1" t="str">
        <f>"5855"</f>
        <v>5855</v>
      </c>
      <c r="F217" s="1" t="str">
        <f>"014502333"</f>
        <v>014502333</v>
      </c>
      <c r="G217" s="1" t="s">
        <v>1947</v>
      </c>
      <c r="H217" s="1" t="s">
        <v>15</v>
      </c>
      <c r="I217" s="3" t="str">
        <f>"1"</f>
        <v>1</v>
      </c>
      <c r="J217" s="3">
        <v>10398.299999999999</v>
      </c>
      <c r="K217" s="2">
        <v>45845</v>
      </c>
      <c r="L217" s="2">
        <v>45846</v>
      </c>
      <c r="M217" s="1" t="s">
        <v>10595</v>
      </c>
    </row>
    <row r="218" spans="1:14" x14ac:dyDescent="0.35">
      <c r="A218" s="1" t="s">
        <v>10574</v>
      </c>
      <c r="B218" s="3" t="s">
        <v>1944</v>
      </c>
      <c r="C218" s="1" t="s">
        <v>1945</v>
      </c>
      <c r="D218" s="1" t="s">
        <v>10598</v>
      </c>
      <c r="E218" s="1" t="str">
        <f>"5855"</f>
        <v>5855</v>
      </c>
      <c r="F218" s="1" t="str">
        <f>"014502333"</f>
        <v>014502333</v>
      </c>
      <c r="G218" s="1" t="s">
        <v>1947</v>
      </c>
      <c r="H218" s="1" t="s">
        <v>15</v>
      </c>
      <c r="I218" s="3" t="str">
        <f>"1"</f>
        <v>1</v>
      </c>
      <c r="J218" s="3">
        <v>10398.299999999999</v>
      </c>
      <c r="K218" s="2">
        <v>45845</v>
      </c>
      <c r="L218" s="2">
        <v>45846</v>
      </c>
      <c r="M218" s="1" t="s">
        <v>10595</v>
      </c>
      <c r="N218" s="1" t="s">
        <v>10588</v>
      </c>
    </row>
    <row r="219" spans="1:14" x14ac:dyDescent="0.35">
      <c r="A219" s="1" t="s">
        <v>10574</v>
      </c>
      <c r="B219" s="3" t="s">
        <v>1944</v>
      </c>
      <c r="C219" s="1" t="s">
        <v>1945</v>
      </c>
      <c r="D219" s="1" t="s">
        <v>10597</v>
      </c>
      <c r="E219" s="1" t="str">
        <f>"5855"</f>
        <v>5855</v>
      </c>
      <c r="F219" s="1" t="str">
        <f>"014502333"</f>
        <v>014502333</v>
      </c>
      <c r="G219" s="1" t="s">
        <v>1947</v>
      </c>
      <c r="H219" s="1" t="s">
        <v>15</v>
      </c>
      <c r="I219" s="3" t="str">
        <f>"1"</f>
        <v>1</v>
      </c>
      <c r="J219" s="3">
        <v>10398.299999999999</v>
      </c>
      <c r="K219" s="2">
        <v>45845</v>
      </c>
      <c r="L219" s="2">
        <v>45846</v>
      </c>
      <c r="M219" s="1" t="s">
        <v>10595</v>
      </c>
      <c r="N219" s="1" t="s">
        <v>10588</v>
      </c>
    </row>
    <row r="220" spans="1:14" x14ac:dyDescent="0.35">
      <c r="A220" s="1" t="s">
        <v>10574</v>
      </c>
      <c r="B220" s="3" t="s">
        <v>1944</v>
      </c>
      <c r="C220" s="1" t="s">
        <v>1945</v>
      </c>
      <c r="D220" s="1" t="s">
        <v>10596</v>
      </c>
      <c r="E220" s="1" t="str">
        <f>"5855"</f>
        <v>5855</v>
      </c>
      <c r="F220" s="1" t="str">
        <f>"014502333"</f>
        <v>014502333</v>
      </c>
      <c r="G220" s="1" t="s">
        <v>1947</v>
      </c>
      <c r="H220" s="1" t="s">
        <v>15</v>
      </c>
      <c r="I220" s="3" t="str">
        <f>"1"</f>
        <v>1</v>
      </c>
      <c r="J220" s="3">
        <v>10398.299999999999</v>
      </c>
      <c r="K220" s="2">
        <v>45845</v>
      </c>
      <c r="L220" s="2">
        <v>45846</v>
      </c>
      <c r="M220" s="1" t="s">
        <v>10595</v>
      </c>
      <c r="N220" s="1" t="s">
        <v>10588</v>
      </c>
    </row>
    <row r="221" spans="1:14" x14ac:dyDescent="0.35">
      <c r="A221" s="1" t="s">
        <v>10574</v>
      </c>
      <c r="B221" s="3" t="s">
        <v>1944</v>
      </c>
      <c r="C221" s="1" t="s">
        <v>1945</v>
      </c>
      <c r="D221" s="1" t="s">
        <v>10594</v>
      </c>
      <c r="E221" s="1" t="str">
        <f>"5855"</f>
        <v>5855</v>
      </c>
      <c r="F221" s="1" t="str">
        <f>"014502333"</f>
        <v>014502333</v>
      </c>
      <c r="G221" s="1" t="s">
        <v>1947</v>
      </c>
      <c r="H221" s="1" t="s">
        <v>15</v>
      </c>
      <c r="I221" s="3" t="str">
        <f>"1"</f>
        <v>1</v>
      </c>
      <c r="J221" s="3">
        <v>10398.299999999999</v>
      </c>
      <c r="K221" s="2">
        <v>45845</v>
      </c>
      <c r="L221" s="2">
        <v>45846</v>
      </c>
      <c r="M221" s="1" t="s">
        <v>1951</v>
      </c>
      <c r="N221" s="1" t="s">
        <v>10588</v>
      </c>
    </row>
    <row r="222" spans="1:14" x14ac:dyDescent="0.35">
      <c r="A222" s="1" t="s">
        <v>10574</v>
      </c>
      <c r="B222" s="3" t="s">
        <v>1944</v>
      </c>
      <c r="C222" s="1" t="s">
        <v>1945</v>
      </c>
      <c r="D222" s="1" t="s">
        <v>10593</v>
      </c>
      <c r="E222" s="1" t="str">
        <f>"5855"</f>
        <v>5855</v>
      </c>
      <c r="F222" s="1" t="str">
        <f>"014502333"</f>
        <v>014502333</v>
      </c>
      <c r="G222" s="1" t="s">
        <v>1947</v>
      </c>
      <c r="H222" s="1" t="s">
        <v>15</v>
      </c>
      <c r="I222" s="3" t="str">
        <f>"1"</f>
        <v>1</v>
      </c>
      <c r="J222" s="3">
        <v>10398.299999999999</v>
      </c>
      <c r="K222" s="2">
        <v>45845</v>
      </c>
      <c r="L222" s="2">
        <v>45846</v>
      </c>
      <c r="M222" s="1" t="s">
        <v>1951</v>
      </c>
      <c r="N222" s="1" t="s">
        <v>10588</v>
      </c>
    </row>
    <row r="223" spans="1:14" x14ac:dyDescent="0.35">
      <c r="A223" s="1" t="s">
        <v>10574</v>
      </c>
      <c r="B223" s="3" t="s">
        <v>1944</v>
      </c>
      <c r="C223" s="1" t="s">
        <v>1945</v>
      </c>
      <c r="D223" s="1" t="s">
        <v>10592</v>
      </c>
      <c r="E223" s="1" t="str">
        <f>"5855"</f>
        <v>5855</v>
      </c>
      <c r="F223" s="1" t="str">
        <f>"014502333"</f>
        <v>014502333</v>
      </c>
      <c r="G223" s="1" t="s">
        <v>1947</v>
      </c>
      <c r="H223" s="1" t="s">
        <v>15</v>
      </c>
      <c r="I223" s="3" t="str">
        <f>"1"</f>
        <v>1</v>
      </c>
      <c r="J223" s="3">
        <v>10398.299999999999</v>
      </c>
      <c r="K223" s="2">
        <v>45845</v>
      </c>
      <c r="L223" s="2">
        <v>45846</v>
      </c>
      <c r="M223" s="1" t="s">
        <v>1951</v>
      </c>
      <c r="N223" s="1" t="s">
        <v>10588</v>
      </c>
    </row>
    <row r="224" spans="1:14" x14ac:dyDescent="0.35">
      <c r="A224" s="1" t="s">
        <v>10574</v>
      </c>
      <c r="B224" s="3" t="s">
        <v>1944</v>
      </c>
      <c r="C224" s="1" t="s">
        <v>1945</v>
      </c>
      <c r="D224" s="1" t="s">
        <v>10591</v>
      </c>
      <c r="E224" s="1" t="str">
        <f>"5855"</f>
        <v>5855</v>
      </c>
      <c r="F224" s="1" t="str">
        <f>"014502333"</f>
        <v>014502333</v>
      </c>
      <c r="G224" s="1" t="s">
        <v>1947</v>
      </c>
      <c r="H224" s="1" t="s">
        <v>15</v>
      </c>
      <c r="I224" s="3" t="str">
        <f>"1"</f>
        <v>1</v>
      </c>
      <c r="J224" s="3">
        <v>10398.299999999999</v>
      </c>
      <c r="K224" s="2">
        <v>45845</v>
      </c>
      <c r="L224" s="2">
        <v>45846</v>
      </c>
      <c r="M224" s="1" t="s">
        <v>1951</v>
      </c>
      <c r="N224" s="1" t="s">
        <v>10588</v>
      </c>
    </row>
    <row r="225" spans="1:14" x14ac:dyDescent="0.35">
      <c r="A225" s="1" t="s">
        <v>10574</v>
      </c>
      <c r="B225" s="3" t="s">
        <v>1944</v>
      </c>
      <c r="C225" s="1" t="s">
        <v>1945</v>
      </c>
      <c r="D225" s="1" t="s">
        <v>10590</v>
      </c>
      <c r="E225" s="1" t="str">
        <f>"5855"</f>
        <v>5855</v>
      </c>
      <c r="F225" s="1" t="str">
        <f>"015315726"</f>
        <v>015315726</v>
      </c>
      <c r="G225" s="1" t="s">
        <v>1953</v>
      </c>
      <c r="H225" s="1" t="s">
        <v>15</v>
      </c>
      <c r="I225" s="3" t="str">
        <f>"1"</f>
        <v>1</v>
      </c>
      <c r="J225" s="3" t="str">
        <f>"10089"</f>
        <v>10089</v>
      </c>
      <c r="K225" s="2">
        <v>45845</v>
      </c>
      <c r="L225" s="2">
        <v>45846</v>
      </c>
      <c r="M225" s="1" t="s">
        <v>10589</v>
      </c>
      <c r="N225" s="1" t="s">
        <v>10588</v>
      </c>
    </row>
    <row r="226" spans="1:14" x14ac:dyDescent="0.35">
      <c r="A226" s="1" t="s">
        <v>10574</v>
      </c>
      <c r="B226" s="3" t="s">
        <v>1445</v>
      </c>
      <c r="C226" s="1" t="s">
        <v>1682</v>
      </c>
      <c r="D226" s="1" t="s">
        <v>10587</v>
      </c>
      <c r="E226" s="1" t="str">
        <f>"6680"</f>
        <v>6680</v>
      </c>
      <c r="F226" s="1" t="str">
        <f>"004007292"</f>
        <v>004007292</v>
      </c>
      <c r="G226" s="1" t="s">
        <v>4319</v>
      </c>
      <c r="H226" s="1" t="s">
        <v>15</v>
      </c>
      <c r="I226" s="3" t="str">
        <f>"1"</f>
        <v>1</v>
      </c>
      <c r="J226" s="3">
        <v>3369.6</v>
      </c>
      <c r="K226" s="2">
        <v>45841</v>
      </c>
      <c r="L226" s="2">
        <v>45845</v>
      </c>
      <c r="M226" s="1" t="s">
        <v>10586</v>
      </c>
      <c r="N226" s="1" t="s">
        <v>10585</v>
      </c>
    </row>
    <row r="227" spans="1:14" x14ac:dyDescent="0.35">
      <c r="A227" s="1" t="s">
        <v>10574</v>
      </c>
      <c r="B227" s="3" t="s">
        <v>3105</v>
      </c>
      <c r="C227" s="1" t="s">
        <v>3141</v>
      </c>
      <c r="D227" s="1" t="s">
        <v>10584</v>
      </c>
      <c r="E227" s="1" t="str">
        <f>"5855"</f>
        <v>5855</v>
      </c>
      <c r="F227" s="1" t="str">
        <f>"015330555"</f>
        <v>015330555</v>
      </c>
      <c r="G227" s="1" t="s">
        <v>2656</v>
      </c>
      <c r="H227" s="1" t="s">
        <v>15</v>
      </c>
      <c r="I227" s="3" t="str">
        <f>"22"</f>
        <v>22</v>
      </c>
      <c r="J227" s="3" t="str">
        <f>"1800"</f>
        <v>1800</v>
      </c>
      <c r="K227" s="2">
        <v>45838</v>
      </c>
      <c r="L227" s="2">
        <v>45840</v>
      </c>
      <c r="M227" s="1" t="s">
        <v>10583</v>
      </c>
      <c r="N227" s="1" t="s">
        <v>10582</v>
      </c>
    </row>
    <row r="228" spans="1:14" x14ac:dyDescent="0.35">
      <c r="A228" s="1" t="s">
        <v>10574</v>
      </c>
      <c r="B228" s="3" t="s">
        <v>93</v>
      </c>
      <c r="C228" s="1" t="s">
        <v>565</v>
      </c>
      <c r="D228" s="1" t="s">
        <v>10581</v>
      </c>
      <c r="E228" s="1" t="str">
        <f>"2010"</f>
        <v>2010</v>
      </c>
      <c r="F228" s="1" t="s">
        <v>571</v>
      </c>
      <c r="G228" s="1" t="s">
        <v>572</v>
      </c>
      <c r="H228" s="1" t="s">
        <v>15</v>
      </c>
      <c r="I228" s="3" t="str">
        <f>"1"</f>
        <v>1</v>
      </c>
      <c r="J228" s="3" t="str">
        <f>"3000"</f>
        <v>3000</v>
      </c>
      <c r="K228" s="2">
        <v>45814</v>
      </c>
      <c r="L228" s="2">
        <v>45840</v>
      </c>
      <c r="M228" s="1" t="s">
        <v>573</v>
      </c>
      <c r="N228" s="1" t="s">
        <v>10580</v>
      </c>
    </row>
    <row r="229" spans="1:14" x14ac:dyDescent="0.35">
      <c r="A229" s="1" t="s">
        <v>10574</v>
      </c>
      <c r="B229" s="3" t="s">
        <v>3885</v>
      </c>
      <c r="C229" s="1" t="s">
        <v>4022</v>
      </c>
      <c r="D229" s="1" t="s">
        <v>10579</v>
      </c>
      <c r="E229" s="1" t="str">
        <f>"2330"</f>
        <v>2330</v>
      </c>
      <c r="F229" s="1" t="s">
        <v>70</v>
      </c>
      <c r="G229" s="1" t="s">
        <v>71</v>
      </c>
      <c r="H229" s="1" t="s">
        <v>15</v>
      </c>
      <c r="I229" s="3" t="str">
        <f>"1"</f>
        <v>1</v>
      </c>
      <c r="J229" s="3" t="str">
        <f>"2775"</f>
        <v>2775</v>
      </c>
      <c r="K229" s="2">
        <v>45836</v>
      </c>
      <c r="L229" s="2">
        <v>45839</v>
      </c>
      <c r="M229" s="1" t="s">
        <v>10578</v>
      </c>
      <c r="N229" s="1" t="s">
        <v>10575</v>
      </c>
    </row>
    <row r="230" spans="1:14" x14ac:dyDescent="0.35">
      <c r="A230" s="1" t="s">
        <v>10574</v>
      </c>
      <c r="B230" s="3" t="s">
        <v>3885</v>
      </c>
      <c r="C230" s="1" t="s">
        <v>4022</v>
      </c>
      <c r="D230" s="1" t="s">
        <v>10577</v>
      </c>
      <c r="E230" s="1" t="str">
        <f>"2330"</f>
        <v>2330</v>
      </c>
      <c r="F230" s="1" t="str">
        <f>"012171477"</f>
        <v>012171477</v>
      </c>
      <c r="G230" s="1" t="s">
        <v>2230</v>
      </c>
      <c r="H230" s="1" t="s">
        <v>15</v>
      </c>
      <c r="I230" s="3" t="str">
        <f>"1"</f>
        <v>1</v>
      </c>
      <c r="J230" s="3">
        <v>36988.65</v>
      </c>
      <c r="K230" s="2">
        <v>45836</v>
      </c>
      <c r="L230" s="2">
        <v>45839</v>
      </c>
      <c r="M230" s="1" t="s">
        <v>10576</v>
      </c>
      <c r="N230" s="1" t="s">
        <v>10575</v>
      </c>
    </row>
    <row r="231" spans="1:14" x14ac:dyDescent="0.35">
      <c r="A231" s="1" t="s">
        <v>10574</v>
      </c>
      <c r="B231" s="3" t="s">
        <v>1844</v>
      </c>
      <c r="C231" s="1" t="s">
        <v>1845</v>
      </c>
      <c r="D231" s="1" t="s">
        <v>10573</v>
      </c>
      <c r="E231" s="1" t="str">
        <f>"2320"</f>
        <v>2320</v>
      </c>
      <c r="F231" s="1" t="str">
        <f>"015449638"</f>
        <v>015449638</v>
      </c>
      <c r="G231" s="1" t="s">
        <v>604</v>
      </c>
      <c r="H231" s="1" t="s">
        <v>15</v>
      </c>
      <c r="I231" s="3" t="str">
        <f>"1"</f>
        <v>1</v>
      </c>
      <c r="J231" s="3" t="str">
        <f>"245544"</f>
        <v>245544</v>
      </c>
      <c r="K231" s="2">
        <v>45832</v>
      </c>
      <c r="L231" s="2">
        <v>45839</v>
      </c>
      <c r="M231" s="1" t="s">
        <v>1847</v>
      </c>
      <c r="N231" s="1" t="s">
        <v>10572</v>
      </c>
    </row>
    <row r="232" spans="1:14" x14ac:dyDescent="0.35">
      <c r="A232" s="1" t="s">
        <v>0</v>
      </c>
      <c r="B232" s="3" t="s">
        <v>1437</v>
      </c>
      <c r="C232" s="1" t="s">
        <v>9141</v>
      </c>
      <c r="D232" s="1" t="s">
        <v>10571</v>
      </c>
      <c r="E232" s="1" t="str">
        <f>"4110"</f>
        <v>4110</v>
      </c>
      <c r="F232" s="1" t="str">
        <f>"016299593"</f>
        <v>016299593</v>
      </c>
      <c r="G232" s="1" t="s">
        <v>2392</v>
      </c>
      <c r="H232" s="1" t="s">
        <v>15</v>
      </c>
      <c r="I232" s="3" t="str">
        <f>"1"</f>
        <v>1</v>
      </c>
      <c r="J232" s="3">
        <v>19445.400000000001</v>
      </c>
      <c r="K232" s="2">
        <v>45928</v>
      </c>
      <c r="L232" s="2">
        <v>45929</v>
      </c>
      <c r="M232" s="1" t="s">
        <v>10570</v>
      </c>
      <c r="N232" s="1" t="s">
        <v>10569</v>
      </c>
    </row>
    <row r="233" spans="1:14" x14ac:dyDescent="0.35">
      <c r="A233" s="1" t="s">
        <v>0</v>
      </c>
      <c r="B233" s="3" t="s">
        <v>2248</v>
      </c>
      <c r="C233" s="1" t="s">
        <v>2414</v>
      </c>
      <c r="D233" s="1" t="s">
        <v>10568</v>
      </c>
      <c r="E233" s="1" t="str">
        <f>"2360"</f>
        <v>2360</v>
      </c>
      <c r="F233" s="1" t="str">
        <f>"016629084"</f>
        <v>016629084</v>
      </c>
      <c r="G233" s="1" t="s">
        <v>14</v>
      </c>
      <c r="H233" s="1" t="s">
        <v>15</v>
      </c>
      <c r="I233" s="3" t="str">
        <f>"1"</f>
        <v>1</v>
      </c>
      <c r="J233" s="3" t="str">
        <f>"200000"</f>
        <v>200000</v>
      </c>
      <c r="K233" s="2">
        <v>45926</v>
      </c>
      <c r="L233" s="2">
        <v>45929</v>
      </c>
      <c r="M233" s="1" t="s">
        <v>7056</v>
      </c>
      <c r="N233" s="1" t="s">
        <v>10563</v>
      </c>
    </row>
    <row r="234" spans="1:14" x14ac:dyDescent="0.35">
      <c r="A234" s="1" t="s">
        <v>0</v>
      </c>
      <c r="B234" s="3" t="s">
        <v>2248</v>
      </c>
      <c r="C234" s="1" t="s">
        <v>2414</v>
      </c>
      <c r="D234" s="1" t="s">
        <v>10567</v>
      </c>
      <c r="E234" s="1" t="str">
        <f>"2360"</f>
        <v>2360</v>
      </c>
      <c r="F234" s="1" t="str">
        <f>"016629084"</f>
        <v>016629084</v>
      </c>
      <c r="G234" s="1" t="s">
        <v>14</v>
      </c>
      <c r="H234" s="1" t="s">
        <v>15</v>
      </c>
      <c r="I234" s="3" t="str">
        <f>"1"</f>
        <v>1</v>
      </c>
      <c r="J234" s="3" t="str">
        <f>"200000"</f>
        <v>200000</v>
      </c>
      <c r="K234" s="2">
        <v>45926</v>
      </c>
      <c r="L234" s="2">
        <v>45929</v>
      </c>
      <c r="M234" s="1" t="s">
        <v>7056</v>
      </c>
      <c r="N234" s="1" t="s">
        <v>10563</v>
      </c>
    </row>
    <row r="235" spans="1:14" x14ac:dyDescent="0.35">
      <c r="A235" s="1" t="s">
        <v>0</v>
      </c>
      <c r="B235" s="3" t="s">
        <v>2248</v>
      </c>
      <c r="C235" s="1" t="s">
        <v>2414</v>
      </c>
      <c r="D235" s="1" t="s">
        <v>10566</v>
      </c>
      <c r="E235" s="1" t="str">
        <f>"2360"</f>
        <v>2360</v>
      </c>
      <c r="F235" s="1" t="str">
        <f>"015900772"</f>
        <v>015900772</v>
      </c>
      <c r="G235" s="1" t="s">
        <v>10565</v>
      </c>
      <c r="H235" s="1" t="s">
        <v>15</v>
      </c>
      <c r="I235" s="3" t="str">
        <f>"2"</f>
        <v>2</v>
      </c>
      <c r="J235" s="3" t="str">
        <f>"243248"</f>
        <v>243248</v>
      </c>
      <c r="K235" s="2">
        <v>45926</v>
      </c>
      <c r="L235" s="2">
        <v>45929</v>
      </c>
      <c r="M235" s="1" t="s">
        <v>7056</v>
      </c>
      <c r="N235" s="1" t="s">
        <v>10563</v>
      </c>
    </row>
    <row r="236" spans="1:14" x14ac:dyDescent="0.35">
      <c r="A236" s="1" t="s">
        <v>0</v>
      </c>
      <c r="B236" s="3" t="s">
        <v>2248</v>
      </c>
      <c r="C236" s="1" t="s">
        <v>2414</v>
      </c>
      <c r="D236" s="1" t="s">
        <v>10564</v>
      </c>
      <c r="E236" s="1" t="str">
        <f>"2360"</f>
        <v>2360</v>
      </c>
      <c r="F236" s="1" t="str">
        <f>"016651491"</f>
        <v>016651491</v>
      </c>
      <c r="G236" s="1" t="s">
        <v>14</v>
      </c>
      <c r="H236" s="1" t="s">
        <v>15</v>
      </c>
      <c r="I236" s="3" t="str">
        <f>"1"</f>
        <v>1</v>
      </c>
      <c r="J236" s="3" t="str">
        <f>"17125"</f>
        <v>17125</v>
      </c>
      <c r="K236" s="2">
        <v>45926</v>
      </c>
      <c r="L236" s="2">
        <v>45929</v>
      </c>
      <c r="M236" s="1" t="s">
        <v>7056</v>
      </c>
      <c r="N236" s="1" t="s">
        <v>10563</v>
      </c>
    </row>
    <row r="237" spans="1:14" x14ac:dyDescent="0.35">
      <c r="A237" s="1" t="s">
        <v>0</v>
      </c>
      <c r="B237" s="3" t="s">
        <v>1437</v>
      </c>
      <c r="C237" s="1" t="s">
        <v>9141</v>
      </c>
      <c r="D237" s="1" t="s">
        <v>10562</v>
      </c>
      <c r="E237" s="1" t="str">
        <f>"5855"</f>
        <v>5855</v>
      </c>
      <c r="F237" s="1" t="s">
        <v>8725</v>
      </c>
      <c r="G237" s="1" t="s">
        <v>8724</v>
      </c>
      <c r="H237" s="1" t="s">
        <v>15</v>
      </c>
      <c r="I237" s="3" t="str">
        <f>"1"</f>
        <v>1</v>
      </c>
      <c r="J237" s="3">
        <v>6753.14</v>
      </c>
      <c r="K237" s="2">
        <v>45923</v>
      </c>
      <c r="L237" s="2">
        <v>45929</v>
      </c>
      <c r="M237" s="1" t="s">
        <v>10561</v>
      </c>
      <c r="N237" s="1" t="s">
        <v>10560</v>
      </c>
    </row>
    <row r="238" spans="1:14" x14ac:dyDescent="0.35">
      <c r="A238" s="1" t="s">
        <v>0</v>
      </c>
      <c r="B238" s="3" t="s">
        <v>2248</v>
      </c>
      <c r="C238" s="1" t="s">
        <v>10559</v>
      </c>
      <c r="D238" s="1" t="s">
        <v>10558</v>
      </c>
      <c r="E238" s="1" t="str">
        <f>"6115"</f>
        <v>6115</v>
      </c>
      <c r="F238" s="1" t="str">
        <f>"012961463"</f>
        <v>012961463</v>
      </c>
      <c r="G238" s="1" t="s">
        <v>435</v>
      </c>
      <c r="H238" s="1" t="s">
        <v>15</v>
      </c>
      <c r="I238" s="3" t="str">
        <f>"1"</f>
        <v>1</v>
      </c>
      <c r="J238" s="3" t="str">
        <f>"67000"</f>
        <v>67000</v>
      </c>
      <c r="K238" s="2">
        <v>45925</v>
      </c>
      <c r="L238" s="2">
        <v>45925</v>
      </c>
      <c r="M238" s="1" t="s">
        <v>10557</v>
      </c>
      <c r="N238" s="1" t="s">
        <v>10193</v>
      </c>
    </row>
    <row r="239" spans="1:14" x14ac:dyDescent="0.35">
      <c r="A239" s="1" t="s">
        <v>0</v>
      </c>
      <c r="B239" s="3" t="s">
        <v>3885</v>
      </c>
      <c r="C239" s="1" t="s">
        <v>3966</v>
      </c>
      <c r="D239" s="1" t="s">
        <v>10556</v>
      </c>
      <c r="E239" s="1" t="str">
        <f>"2320"</f>
        <v>2320</v>
      </c>
      <c r="F239" s="1" t="s">
        <v>274</v>
      </c>
      <c r="G239" s="1" t="s">
        <v>275</v>
      </c>
      <c r="H239" s="1" t="s">
        <v>15</v>
      </c>
      <c r="I239" s="3" t="str">
        <f>"1"</f>
        <v>1</v>
      </c>
      <c r="J239" s="3" t="str">
        <f>"3500"</f>
        <v>3500</v>
      </c>
      <c r="K239" s="2">
        <v>45924</v>
      </c>
      <c r="L239" s="2">
        <v>45925</v>
      </c>
      <c r="M239" s="1" t="s">
        <v>9072</v>
      </c>
    </row>
    <row r="240" spans="1:14" x14ac:dyDescent="0.35">
      <c r="A240" s="1" t="s">
        <v>0</v>
      </c>
      <c r="B240" s="3" t="s">
        <v>3885</v>
      </c>
      <c r="C240" s="1" t="s">
        <v>3966</v>
      </c>
      <c r="D240" s="1" t="s">
        <v>10555</v>
      </c>
      <c r="E240" s="1" t="str">
        <f>"2320"</f>
        <v>2320</v>
      </c>
      <c r="F240" s="1" t="str">
        <f>"015762510"</f>
        <v>015762510</v>
      </c>
      <c r="G240" s="1" t="s">
        <v>1799</v>
      </c>
      <c r="H240" s="1" t="s">
        <v>15</v>
      </c>
      <c r="I240" s="3" t="str">
        <f>"1"</f>
        <v>1</v>
      </c>
      <c r="J240" s="3" t="str">
        <f>"16500"</f>
        <v>16500</v>
      </c>
      <c r="K240" s="2">
        <v>45924</v>
      </c>
      <c r="L240" s="2">
        <v>45925</v>
      </c>
      <c r="M240" s="1" t="s">
        <v>10554</v>
      </c>
    </row>
    <row r="241" spans="1:14" x14ac:dyDescent="0.35">
      <c r="A241" s="1" t="s">
        <v>0</v>
      </c>
      <c r="B241" s="3" t="s">
        <v>2494</v>
      </c>
      <c r="C241" s="1" t="s">
        <v>10549</v>
      </c>
      <c r="D241" s="1" t="s">
        <v>10553</v>
      </c>
      <c r="E241" s="1" t="str">
        <f>"4220"</f>
        <v>4220</v>
      </c>
      <c r="F241" s="1" t="str">
        <f>"016869727"</f>
        <v>016869727</v>
      </c>
      <c r="G241" s="1" t="s">
        <v>8996</v>
      </c>
      <c r="H241" s="1" t="s">
        <v>847</v>
      </c>
      <c r="I241" s="3" t="str">
        <f>"20"</f>
        <v>20</v>
      </c>
      <c r="J241" s="3">
        <v>99.04</v>
      </c>
      <c r="K241" s="2">
        <v>45924</v>
      </c>
      <c r="L241" s="2">
        <v>45924</v>
      </c>
      <c r="M241" s="1" t="s">
        <v>10552</v>
      </c>
      <c r="N241" s="1" t="s">
        <v>10434</v>
      </c>
    </row>
    <row r="242" spans="1:14" x14ac:dyDescent="0.35">
      <c r="A242" s="1" t="s">
        <v>0</v>
      </c>
      <c r="B242" s="3" t="s">
        <v>2494</v>
      </c>
      <c r="C242" s="1" t="s">
        <v>10549</v>
      </c>
      <c r="D242" s="1" t="s">
        <v>10551</v>
      </c>
      <c r="E242" s="1" t="str">
        <f>"5855"</f>
        <v>5855</v>
      </c>
      <c r="F242" s="1" t="str">
        <f>"015847217"</f>
        <v>015847217</v>
      </c>
      <c r="G242" s="1" t="s">
        <v>1942</v>
      </c>
      <c r="H242" s="1" t="s">
        <v>15</v>
      </c>
      <c r="I242" s="3" t="str">
        <f>"5"</f>
        <v>5</v>
      </c>
      <c r="J242" s="3" t="str">
        <f>"35674"</f>
        <v>35674</v>
      </c>
      <c r="K242" s="2">
        <v>45924</v>
      </c>
      <c r="L242" s="2">
        <v>45924</v>
      </c>
      <c r="M242" s="1" t="s">
        <v>10550</v>
      </c>
      <c r="N242" s="1" t="s">
        <v>10434</v>
      </c>
    </row>
    <row r="243" spans="1:14" x14ac:dyDescent="0.35">
      <c r="A243" s="1" t="s">
        <v>0</v>
      </c>
      <c r="B243" s="3" t="s">
        <v>2494</v>
      </c>
      <c r="C243" s="1" t="s">
        <v>10549</v>
      </c>
      <c r="D243" s="1" t="s">
        <v>10548</v>
      </c>
      <c r="E243" s="1" t="str">
        <f>"4020"</f>
        <v>4020</v>
      </c>
      <c r="F243" s="1" t="str">
        <f>"009318792"</f>
        <v>009318792</v>
      </c>
      <c r="G243" s="1" t="s">
        <v>10547</v>
      </c>
      <c r="H243" s="1" t="s">
        <v>10546</v>
      </c>
      <c r="I243" s="3" t="str">
        <f>"5"</f>
        <v>5</v>
      </c>
      <c r="J243" s="3">
        <v>148.05000000000001</v>
      </c>
      <c r="K243" s="2">
        <v>45924</v>
      </c>
      <c r="L243" s="2">
        <v>45924</v>
      </c>
      <c r="M243" s="1" t="s">
        <v>10545</v>
      </c>
      <c r="N243" s="1" t="s">
        <v>10434</v>
      </c>
    </row>
    <row r="244" spans="1:14" x14ac:dyDescent="0.35">
      <c r="A244" s="1" t="s">
        <v>0</v>
      </c>
      <c r="B244" s="3" t="s">
        <v>601</v>
      </c>
      <c r="C244" s="1" t="s">
        <v>683</v>
      </c>
      <c r="D244" s="1" t="s">
        <v>10544</v>
      </c>
      <c r="E244" s="1" t="str">
        <f>"5895"</f>
        <v>5895</v>
      </c>
      <c r="F244" s="1" t="str">
        <f>"016470133"</f>
        <v>016470133</v>
      </c>
      <c r="G244" s="1" t="s">
        <v>10543</v>
      </c>
      <c r="H244" s="1" t="s">
        <v>15</v>
      </c>
      <c r="I244" s="3" t="str">
        <f>"8"</f>
        <v>8</v>
      </c>
      <c r="J244" s="3" t="str">
        <f>"27047"</f>
        <v>27047</v>
      </c>
      <c r="K244" s="2">
        <v>45923</v>
      </c>
      <c r="L244" s="2">
        <v>45924</v>
      </c>
      <c r="M244" s="1" t="s">
        <v>10542</v>
      </c>
      <c r="N244" s="1" t="s">
        <v>10541</v>
      </c>
    </row>
    <row r="245" spans="1:14" x14ac:dyDescent="0.35">
      <c r="A245" s="1" t="s">
        <v>0</v>
      </c>
      <c r="B245" s="3" t="s">
        <v>2494</v>
      </c>
      <c r="C245" s="1" t="s">
        <v>9469</v>
      </c>
      <c r="D245" s="1" t="s">
        <v>10540</v>
      </c>
      <c r="E245" s="1" t="str">
        <f>"6545"</f>
        <v>6545</v>
      </c>
      <c r="F245" s="1" t="str">
        <f>"015748111"</f>
        <v>015748111</v>
      </c>
      <c r="G245" s="1" t="s">
        <v>4373</v>
      </c>
      <c r="H245" s="1" t="s">
        <v>15</v>
      </c>
      <c r="I245" s="3" t="str">
        <f>"32"</f>
        <v>32</v>
      </c>
      <c r="J245" s="3">
        <v>168.99</v>
      </c>
      <c r="K245" s="2">
        <v>45923</v>
      </c>
      <c r="L245" s="2">
        <v>45923</v>
      </c>
      <c r="M245" s="1" t="s">
        <v>10539</v>
      </c>
      <c r="N245" s="1" t="s">
        <v>10434</v>
      </c>
    </row>
    <row r="246" spans="1:14" x14ac:dyDescent="0.35">
      <c r="A246" s="1" t="s">
        <v>0</v>
      </c>
      <c r="B246" s="3" t="s">
        <v>2494</v>
      </c>
      <c r="C246" s="1" t="s">
        <v>9469</v>
      </c>
      <c r="D246" s="1" t="s">
        <v>10538</v>
      </c>
      <c r="E246" s="1" t="str">
        <f>"4220"</f>
        <v>4220</v>
      </c>
      <c r="F246" s="1" t="str">
        <f>"016869727"</f>
        <v>016869727</v>
      </c>
      <c r="G246" s="1" t="s">
        <v>8996</v>
      </c>
      <c r="H246" s="1" t="s">
        <v>847</v>
      </c>
      <c r="I246" s="3" t="str">
        <f>"10"</f>
        <v>10</v>
      </c>
      <c r="J246" s="3">
        <v>99.04</v>
      </c>
      <c r="K246" s="2">
        <v>45923</v>
      </c>
      <c r="L246" s="2">
        <v>45923</v>
      </c>
      <c r="M246" s="1" t="s">
        <v>10537</v>
      </c>
      <c r="N246" s="1" t="s">
        <v>10434</v>
      </c>
    </row>
    <row r="247" spans="1:14" x14ac:dyDescent="0.35">
      <c r="A247" s="1" t="s">
        <v>0</v>
      </c>
      <c r="B247" s="3" t="s">
        <v>2494</v>
      </c>
      <c r="C247" s="1" t="s">
        <v>9469</v>
      </c>
      <c r="D247" s="1" t="s">
        <v>10536</v>
      </c>
      <c r="E247" s="1" t="str">
        <f>"5855"</f>
        <v>5855</v>
      </c>
      <c r="F247" s="1" t="str">
        <f>"015847217"</f>
        <v>015847217</v>
      </c>
      <c r="G247" s="1" t="s">
        <v>1942</v>
      </c>
      <c r="H247" s="1" t="s">
        <v>15</v>
      </c>
      <c r="I247" s="3" t="str">
        <f>"10"</f>
        <v>10</v>
      </c>
      <c r="J247" s="3" t="str">
        <f>"35674"</f>
        <v>35674</v>
      </c>
      <c r="K247" s="2">
        <v>45923</v>
      </c>
      <c r="L247" s="2">
        <v>45923</v>
      </c>
      <c r="M247" s="1" t="s">
        <v>10535</v>
      </c>
      <c r="N247" s="1" t="s">
        <v>10434</v>
      </c>
    </row>
    <row r="248" spans="1:14" x14ac:dyDescent="0.35">
      <c r="A248" s="1" t="s">
        <v>0</v>
      </c>
      <c r="B248" s="3" t="s">
        <v>2494</v>
      </c>
      <c r="C248" s="1" t="s">
        <v>9469</v>
      </c>
      <c r="D248" s="1" t="s">
        <v>10534</v>
      </c>
      <c r="E248" s="1" t="str">
        <f>"1550"</f>
        <v>1550</v>
      </c>
      <c r="F248" s="1" t="s">
        <v>7292</v>
      </c>
      <c r="G248" s="1" t="s">
        <v>7291</v>
      </c>
      <c r="H248" s="1" t="s">
        <v>15</v>
      </c>
      <c r="I248" s="3" t="str">
        <f>"1"</f>
        <v>1</v>
      </c>
      <c r="J248" s="3" t="str">
        <f>"44996"</f>
        <v>44996</v>
      </c>
      <c r="K248" s="2">
        <v>45923</v>
      </c>
      <c r="L248" s="2">
        <v>45923</v>
      </c>
      <c r="M248" s="1" t="s">
        <v>10533</v>
      </c>
      <c r="N248" s="1" t="s">
        <v>10434</v>
      </c>
    </row>
    <row r="249" spans="1:14" x14ac:dyDescent="0.35">
      <c r="A249" s="1" t="s">
        <v>0</v>
      </c>
      <c r="B249" s="3" t="s">
        <v>2983</v>
      </c>
      <c r="C249" s="1" t="s">
        <v>10532</v>
      </c>
      <c r="D249" s="1" t="s">
        <v>10531</v>
      </c>
      <c r="E249" s="1" t="str">
        <f>"2355"</f>
        <v>2355</v>
      </c>
      <c r="F249" s="1" t="str">
        <f>"015696962"</f>
        <v>015696962</v>
      </c>
      <c r="G249" s="1" t="s">
        <v>7999</v>
      </c>
      <c r="H249" s="1" t="s">
        <v>15</v>
      </c>
      <c r="I249" s="3" t="str">
        <f>"0"</f>
        <v>0</v>
      </c>
      <c r="J249" s="3" t="str">
        <f>"824085"</f>
        <v>824085</v>
      </c>
      <c r="K249" s="2">
        <v>45923</v>
      </c>
      <c r="L249" s="2">
        <v>45923</v>
      </c>
      <c r="M249" s="1" t="s">
        <v>10530</v>
      </c>
      <c r="N249" s="1" t="s">
        <v>10529</v>
      </c>
    </row>
    <row r="250" spans="1:14" x14ac:dyDescent="0.35">
      <c r="A250" s="1" t="s">
        <v>0</v>
      </c>
      <c r="B250" s="3" t="s">
        <v>2494</v>
      </c>
      <c r="C250" s="1" t="s">
        <v>10523</v>
      </c>
      <c r="D250" s="1" t="s">
        <v>10528</v>
      </c>
      <c r="E250" s="1" t="str">
        <f>"5855"</f>
        <v>5855</v>
      </c>
      <c r="F250" s="1" t="str">
        <f>"015264703"</f>
        <v>015264703</v>
      </c>
      <c r="G250" s="1" t="s">
        <v>1953</v>
      </c>
      <c r="H250" s="1" t="s">
        <v>15</v>
      </c>
      <c r="I250" s="3" t="str">
        <f>"1"</f>
        <v>1</v>
      </c>
      <c r="J250" s="3">
        <v>10100.040000000001</v>
      </c>
      <c r="K250" s="2">
        <v>45923</v>
      </c>
      <c r="L250" s="2">
        <v>45923</v>
      </c>
      <c r="M250" s="1" t="s">
        <v>10525</v>
      </c>
      <c r="N250" s="1" t="s">
        <v>10524</v>
      </c>
    </row>
    <row r="251" spans="1:14" x14ac:dyDescent="0.35">
      <c r="A251" s="1" t="s">
        <v>0</v>
      </c>
      <c r="B251" s="3" t="s">
        <v>2494</v>
      </c>
      <c r="C251" s="1" t="s">
        <v>10523</v>
      </c>
      <c r="D251" s="1" t="s">
        <v>10527</v>
      </c>
      <c r="E251" s="1" t="str">
        <f>"5855"</f>
        <v>5855</v>
      </c>
      <c r="F251" s="1" t="str">
        <f>"015264703"</f>
        <v>015264703</v>
      </c>
      <c r="G251" s="1" t="s">
        <v>1953</v>
      </c>
      <c r="H251" s="1" t="s">
        <v>15</v>
      </c>
      <c r="I251" s="3" t="str">
        <f>"1"</f>
        <v>1</v>
      </c>
      <c r="J251" s="3">
        <v>10100.040000000001</v>
      </c>
      <c r="K251" s="2">
        <v>45923</v>
      </c>
      <c r="L251" s="2">
        <v>45923</v>
      </c>
      <c r="M251" s="1" t="s">
        <v>10525</v>
      </c>
      <c r="N251" s="1" t="s">
        <v>10524</v>
      </c>
    </row>
    <row r="252" spans="1:14" x14ac:dyDescent="0.35">
      <c r="A252" s="1" t="s">
        <v>0</v>
      </c>
      <c r="B252" s="3" t="s">
        <v>2494</v>
      </c>
      <c r="C252" s="1" t="s">
        <v>10523</v>
      </c>
      <c r="D252" s="1" t="s">
        <v>10526</v>
      </c>
      <c r="E252" s="1" t="str">
        <f>"5855"</f>
        <v>5855</v>
      </c>
      <c r="F252" s="1" t="str">
        <f>"015264703"</f>
        <v>015264703</v>
      </c>
      <c r="G252" s="1" t="s">
        <v>1953</v>
      </c>
      <c r="H252" s="1" t="s">
        <v>15</v>
      </c>
      <c r="I252" s="3" t="str">
        <f>"1"</f>
        <v>1</v>
      </c>
      <c r="J252" s="3">
        <v>10100.040000000001</v>
      </c>
      <c r="K252" s="2">
        <v>45923</v>
      </c>
      <c r="L252" s="2">
        <v>45923</v>
      </c>
      <c r="M252" s="1" t="s">
        <v>10525</v>
      </c>
      <c r="N252" s="1" t="s">
        <v>10524</v>
      </c>
    </row>
    <row r="253" spans="1:14" x14ac:dyDescent="0.35">
      <c r="A253" s="1" t="s">
        <v>0</v>
      </c>
      <c r="B253" s="3" t="s">
        <v>2494</v>
      </c>
      <c r="C253" s="1" t="s">
        <v>10523</v>
      </c>
      <c r="D253" s="1" t="s">
        <v>10522</v>
      </c>
      <c r="E253" s="1" t="str">
        <f>"5855"</f>
        <v>5855</v>
      </c>
      <c r="F253" s="1" t="str">
        <f>"015847217"</f>
        <v>015847217</v>
      </c>
      <c r="G253" s="1" t="s">
        <v>1942</v>
      </c>
      <c r="H253" s="1" t="s">
        <v>15</v>
      </c>
      <c r="I253" s="3" t="str">
        <f>"18"</f>
        <v>18</v>
      </c>
      <c r="J253" s="3" t="str">
        <f>"35674"</f>
        <v>35674</v>
      </c>
      <c r="K253" s="2">
        <v>45923</v>
      </c>
      <c r="L253" s="2">
        <v>45923</v>
      </c>
      <c r="M253" s="1" t="s">
        <v>10521</v>
      </c>
      <c r="N253" s="1" t="s">
        <v>10279</v>
      </c>
    </row>
    <row r="254" spans="1:14" x14ac:dyDescent="0.35">
      <c r="A254" s="1" t="s">
        <v>0</v>
      </c>
      <c r="B254" s="3" t="s">
        <v>1437</v>
      </c>
      <c r="C254" s="1" t="s">
        <v>9141</v>
      </c>
      <c r="D254" s="1" t="s">
        <v>10520</v>
      </c>
      <c r="E254" s="1" t="str">
        <f>"6210"</f>
        <v>6210</v>
      </c>
      <c r="F254" s="1" t="s">
        <v>2200</v>
      </c>
      <c r="G254" s="1" t="s">
        <v>2201</v>
      </c>
      <c r="H254" s="1" t="s">
        <v>15</v>
      </c>
      <c r="I254" s="3" t="str">
        <f>"30"</f>
        <v>30</v>
      </c>
      <c r="J254" s="3" t="str">
        <f>"9314"</f>
        <v>9314</v>
      </c>
      <c r="K254" s="2">
        <v>45923</v>
      </c>
      <c r="L254" s="2">
        <v>45923</v>
      </c>
      <c r="M254" s="1" t="s">
        <v>10519</v>
      </c>
      <c r="N254" s="1" t="s">
        <v>10518</v>
      </c>
    </row>
    <row r="255" spans="1:14" x14ac:dyDescent="0.35">
      <c r="A255" s="1" t="s">
        <v>0</v>
      </c>
      <c r="B255" s="3" t="s">
        <v>3105</v>
      </c>
      <c r="C255" s="1" t="s">
        <v>3154</v>
      </c>
      <c r="D255" s="1" t="s">
        <v>10517</v>
      </c>
      <c r="E255" s="1" t="str">
        <f>"2320"</f>
        <v>2320</v>
      </c>
      <c r="F255" s="1" t="s">
        <v>1871</v>
      </c>
      <c r="G255" s="1" t="s">
        <v>1872</v>
      </c>
      <c r="H255" s="1" t="s">
        <v>15</v>
      </c>
      <c r="I255" s="3" t="str">
        <f>"1"</f>
        <v>1</v>
      </c>
      <c r="J255" s="3">
        <v>25765.1</v>
      </c>
      <c r="K255" s="2">
        <v>45921</v>
      </c>
      <c r="L255" s="2">
        <v>45923</v>
      </c>
      <c r="M255" s="1" t="s">
        <v>10516</v>
      </c>
      <c r="N255" s="1" t="s">
        <v>10023</v>
      </c>
    </row>
    <row r="256" spans="1:14" x14ac:dyDescent="0.35">
      <c r="A256" s="1" t="s">
        <v>0</v>
      </c>
      <c r="B256" s="3" t="s">
        <v>3105</v>
      </c>
      <c r="C256" s="1" t="s">
        <v>9334</v>
      </c>
      <c r="D256" s="1" t="s">
        <v>10515</v>
      </c>
      <c r="E256" s="1" t="str">
        <f>"5855"</f>
        <v>5855</v>
      </c>
      <c r="F256" s="1" t="str">
        <f>"015282743"</f>
        <v>015282743</v>
      </c>
      <c r="G256" s="1" t="s">
        <v>1942</v>
      </c>
      <c r="H256" s="1" t="s">
        <v>15</v>
      </c>
      <c r="I256" s="3" t="str">
        <f>"2"</f>
        <v>2</v>
      </c>
      <c r="J256" s="3" t="str">
        <f>"8951"</f>
        <v>8951</v>
      </c>
      <c r="K256" s="2">
        <v>45918</v>
      </c>
      <c r="L256" s="2">
        <v>45923</v>
      </c>
      <c r="M256" s="1" t="s">
        <v>9332</v>
      </c>
      <c r="N256" s="1" t="s">
        <v>10023</v>
      </c>
    </row>
    <row r="257" spans="1:14" x14ac:dyDescent="0.35">
      <c r="A257" s="1" t="s">
        <v>0</v>
      </c>
      <c r="B257" s="3" t="s">
        <v>3183</v>
      </c>
      <c r="C257" s="1" t="s">
        <v>3425</v>
      </c>
      <c r="D257" s="1" t="s">
        <v>10514</v>
      </c>
      <c r="E257" s="1" t="str">
        <f>"2320"</f>
        <v>2320</v>
      </c>
      <c r="F257" s="1" t="s">
        <v>321</v>
      </c>
      <c r="G257" s="1" t="s">
        <v>322</v>
      </c>
      <c r="H257" s="1" t="s">
        <v>15</v>
      </c>
      <c r="I257" s="3" t="str">
        <f>"1"</f>
        <v>1</v>
      </c>
      <c r="J257" s="3" t="str">
        <f>"300438"</f>
        <v>300438</v>
      </c>
      <c r="K257" s="2">
        <v>45922</v>
      </c>
      <c r="L257" s="2">
        <v>45922</v>
      </c>
      <c r="M257" s="1" t="s">
        <v>10513</v>
      </c>
      <c r="N257" s="1" t="s">
        <v>10512</v>
      </c>
    </row>
    <row r="258" spans="1:14" x14ac:dyDescent="0.35">
      <c r="A258" s="1" t="s">
        <v>0</v>
      </c>
      <c r="B258" s="3" t="s">
        <v>2248</v>
      </c>
      <c r="C258" s="1" t="s">
        <v>2414</v>
      </c>
      <c r="D258" s="1" t="s">
        <v>10511</v>
      </c>
      <c r="E258" s="1" t="str">
        <f>"2355"</f>
        <v>2355</v>
      </c>
      <c r="F258" s="1" t="str">
        <f>"015696962"</f>
        <v>015696962</v>
      </c>
      <c r="G258" s="1" t="s">
        <v>7999</v>
      </c>
      <c r="H258" s="1" t="s">
        <v>15</v>
      </c>
      <c r="I258" s="3" t="str">
        <f>"1"</f>
        <v>1</v>
      </c>
      <c r="J258" s="3" t="str">
        <f>"824085"</f>
        <v>824085</v>
      </c>
      <c r="K258" s="2">
        <v>45922</v>
      </c>
      <c r="L258" s="2">
        <v>45922</v>
      </c>
      <c r="M258" s="1" t="s">
        <v>10509</v>
      </c>
      <c r="N258" s="1" t="s">
        <v>10503</v>
      </c>
    </row>
    <row r="259" spans="1:14" x14ac:dyDescent="0.35">
      <c r="A259" s="1" t="s">
        <v>0</v>
      </c>
      <c r="B259" s="3" t="s">
        <v>2248</v>
      </c>
      <c r="C259" s="1" t="s">
        <v>2414</v>
      </c>
      <c r="D259" s="1" t="s">
        <v>10510</v>
      </c>
      <c r="E259" s="1" t="str">
        <f>"2355"</f>
        <v>2355</v>
      </c>
      <c r="F259" s="1" t="str">
        <f>"015696962"</f>
        <v>015696962</v>
      </c>
      <c r="G259" s="1" t="s">
        <v>7999</v>
      </c>
      <c r="H259" s="1" t="s">
        <v>15</v>
      </c>
      <c r="I259" s="3" t="str">
        <f>"1"</f>
        <v>1</v>
      </c>
      <c r="J259" s="3" t="str">
        <f>"824085"</f>
        <v>824085</v>
      </c>
      <c r="K259" s="2">
        <v>45922</v>
      </c>
      <c r="L259" s="2">
        <v>45922</v>
      </c>
      <c r="M259" s="1" t="s">
        <v>10509</v>
      </c>
      <c r="N259" s="1" t="s">
        <v>10503</v>
      </c>
    </row>
    <row r="260" spans="1:14" x14ac:dyDescent="0.35">
      <c r="A260" s="1" t="s">
        <v>0</v>
      </c>
      <c r="B260" s="3" t="s">
        <v>2248</v>
      </c>
      <c r="C260" s="1" t="s">
        <v>2414</v>
      </c>
      <c r="D260" s="1" t="s">
        <v>10508</v>
      </c>
      <c r="E260" s="1" t="str">
        <f>"2355"</f>
        <v>2355</v>
      </c>
      <c r="F260" s="1" t="str">
        <f>"015573100"</f>
        <v>015573100</v>
      </c>
      <c r="G260" s="1" t="s">
        <v>7999</v>
      </c>
      <c r="H260" s="1" t="s">
        <v>15</v>
      </c>
      <c r="I260" s="3" t="str">
        <f>"1"</f>
        <v>1</v>
      </c>
      <c r="J260" s="3" t="str">
        <f>"617600"</f>
        <v>617600</v>
      </c>
      <c r="K260" s="2">
        <v>45922</v>
      </c>
      <c r="L260" s="2">
        <v>45922</v>
      </c>
      <c r="M260" s="1" t="s">
        <v>10507</v>
      </c>
      <c r="N260" s="1" t="s">
        <v>10503</v>
      </c>
    </row>
    <row r="261" spans="1:14" x14ac:dyDescent="0.35">
      <c r="A261" s="1" t="s">
        <v>0</v>
      </c>
      <c r="B261" s="3" t="s">
        <v>2248</v>
      </c>
      <c r="C261" s="1" t="s">
        <v>2414</v>
      </c>
      <c r="D261" s="1" t="s">
        <v>10506</v>
      </c>
      <c r="E261" s="1" t="str">
        <f>"2355"</f>
        <v>2355</v>
      </c>
      <c r="F261" s="1" t="str">
        <f>"015696962"</f>
        <v>015696962</v>
      </c>
      <c r="G261" s="1" t="s">
        <v>7999</v>
      </c>
      <c r="H261" s="1" t="s">
        <v>15</v>
      </c>
      <c r="I261" s="3" t="str">
        <f>"1"</f>
        <v>1</v>
      </c>
      <c r="J261" s="3" t="str">
        <f>"824085"</f>
        <v>824085</v>
      </c>
      <c r="K261" s="2">
        <v>45922</v>
      </c>
      <c r="L261" s="2">
        <v>45922</v>
      </c>
      <c r="M261" s="1" t="s">
        <v>10504</v>
      </c>
      <c r="N261" s="1" t="s">
        <v>10503</v>
      </c>
    </row>
    <row r="262" spans="1:14" x14ac:dyDescent="0.35">
      <c r="A262" s="1" t="s">
        <v>0</v>
      </c>
      <c r="B262" s="3" t="s">
        <v>2248</v>
      </c>
      <c r="C262" s="1" t="s">
        <v>2414</v>
      </c>
      <c r="D262" s="1" t="s">
        <v>10505</v>
      </c>
      <c r="E262" s="1" t="str">
        <f>"2355"</f>
        <v>2355</v>
      </c>
      <c r="F262" s="1" t="str">
        <f>"015696962"</f>
        <v>015696962</v>
      </c>
      <c r="G262" s="1" t="s">
        <v>7999</v>
      </c>
      <c r="H262" s="1" t="s">
        <v>15</v>
      </c>
      <c r="I262" s="3" t="str">
        <f>"1"</f>
        <v>1</v>
      </c>
      <c r="J262" s="3" t="str">
        <f>"824085"</f>
        <v>824085</v>
      </c>
      <c r="K262" s="2">
        <v>45922</v>
      </c>
      <c r="L262" s="2">
        <v>45922</v>
      </c>
      <c r="M262" s="1" t="s">
        <v>10504</v>
      </c>
      <c r="N262" s="1" t="s">
        <v>10503</v>
      </c>
    </row>
    <row r="263" spans="1:14" x14ac:dyDescent="0.35">
      <c r="A263" s="1" t="s">
        <v>0</v>
      </c>
      <c r="B263" s="3" t="s">
        <v>3885</v>
      </c>
      <c r="C263" s="1" t="s">
        <v>3966</v>
      </c>
      <c r="D263" s="1" t="s">
        <v>10502</v>
      </c>
      <c r="E263" s="1" t="str">
        <f>"2320"</f>
        <v>2320</v>
      </c>
      <c r="F263" s="1" t="s">
        <v>1871</v>
      </c>
      <c r="G263" s="1" t="s">
        <v>1872</v>
      </c>
      <c r="H263" s="1" t="s">
        <v>15</v>
      </c>
      <c r="I263" s="3" t="str">
        <f>"1"</f>
        <v>1</v>
      </c>
      <c r="J263" s="3">
        <v>25765.1</v>
      </c>
      <c r="K263" s="2">
        <v>45922</v>
      </c>
      <c r="L263" s="2">
        <v>45922</v>
      </c>
      <c r="M263" s="1" t="s">
        <v>10501</v>
      </c>
      <c r="N263" s="1" t="s">
        <v>10188</v>
      </c>
    </row>
    <row r="264" spans="1:14" x14ac:dyDescent="0.35">
      <c r="A264" s="1" t="s">
        <v>0</v>
      </c>
      <c r="B264" s="3" t="s">
        <v>3183</v>
      </c>
      <c r="C264" s="1" t="s">
        <v>3357</v>
      </c>
      <c r="D264" s="1" t="s">
        <v>10500</v>
      </c>
      <c r="E264" s="1" t="str">
        <f>"2320"</f>
        <v>2320</v>
      </c>
      <c r="F264" s="1" t="s">
        <v>1871</v>
      </c>
      <c r="G264" s="1" t="s">
        <v>1872</v>
      </c>
      <c r="H264" s="1" t="s">
        <v>15</v>
      </c>
      <c r="I264" s="3" t="str">
        <f>"1"</f>
        <v>1</v>
      </c>
      <c r="J264" s="3">
        <v>25765.1</v>
      </c>
      <c r="K264" s="2">
        <v>45921</v>
      </c>
      <c r="L264" s="2">
        <v>45922</v>
      </c>
      <c r="M264" s="1" t="s">
        <v>10499</v>
      </c>
      <c r="N264" s="1" t="s">
        <v>10155</v>
      </c>
    </row>
    <row r="265" spans="1:14" x14ac:dyDescent="0.35">
      <c r="A265" s="1" t="s">
        <v>0</v>
      </c>
      <c r="B265" s="3" t="s">
        <v>2494</v>
      </c>
      <c r="C265" s="1" t="s">
        <v>2584</v>
      </c>
      <c r="D265" s="1" t="s">
        <v>10498</v>
      </c>
      <c r="E265" s="1" t="str">
        <f>"2320"</f>
        <v>2320</v>
      </c>
      <c r="F265" s="1" t="s">
        <v>1871</v>
      </c>
      <c r="G265" s="1" t="s">
        <v>1872</v>
      </c>
      <c r="H265" s="1" t="s">
        <v>15</v>
      </c>
      <c r="I265" s="3" t="str">
        <f>"1"</f>
        <v>1</v>
      </c>
      <c r="J265" s="3">
        <v>25765.1</v>
      </c>
      <c r="K265" s="2">
        <v>45921</v>
      </c>
      <c r="L265" s="2">
        <v>45922</v>
      </c>
      <c r="M265" s="1" t="s">
        <v>10497</v>
      </c>
      <c r="N265" s="1" t="s">
        <v>10389</v>
      </c>
    </row>
    <row r="266" spans="1:14" x14ac:dyDescent="0.35">
      <c r="A266" s="1" t="s">
        <v>0</v>
      </c>
      <c r="B266" s="3" t="s">
        <v>2494</v>
      </c>
      <c r="C266" s="1" t="s">
        <v>2600</v>
      </c>
      <c r="D266" s="1" t="s">
        <v>10496</v>
      </c>
      <c r="E266" s="1" t="str">
        <f>"2320"</f>
        <v>2320</v>
      </c>
      <c r="F266" s="1" t="s">
        <v>1871</v>
      </c>
      <c r="G266" s="1" t="s">
        <v>1872</v>
      </c>
      <c r="H266" s="1" t="s">
        <v>15</v>
      </c>
      <c r="I266" s="3" t="str">
        <f>"1"</f>
        <v>1</v>
      </c>
      <c r="J266" s="3">
        <v>25765.1</v>
      </c>
      <c r="K266" s="2">
        <v>45921</v>
      </c>
      <c r="L266" s="2">
        <v>45922</v>
      </c>
      <c r="M266" s="1" t="s">
        <v>10495</v>
      </c>
      <c r="N266" s="1" t="s">
        <v>10494</v>
      </c>
    </row>
    <row r="267" spans="1:14" x14ac:dyDescent="0.35">
      <c r="A267" s="1" t="s">
        <v>0</v>
      </c>
      <c r="B267" s="3" t="s">
        <v>3183</v>
      </c>
      <c r="C267" s="1" t="s">
        <v>10493</v>
      </c>
      <c r="D267" s="1" t="s">
        <v>10492</v>
      </c>
      <c r="E267" s="1" t="str">
        <f>"2320"</f>
        <v>2320</v>
      </c>
      <c r="F267" s="1" t="s">
        <v>321</v>
      </c>
      <c r="G267" s="1" t="s">
        <v>322</v>
      </c>
      <c r="H267" s="1" t="s">
        <v>15</v>
      </c>
      <c r="I267" s="3" t="str">
        <f>"1"</f>
        <v>1</v>
      </c>
      <c r="J267" s="3" t="str">
        <f>"300438"</f>
        <v>300438</v>
      </c>
      <c r="K267" s="2">
        <v>45921</v>
      </c>
      <c r="L267" s="2">
        <v>45922</v>
      </c>
      <c r="M267" s="1" t="s">
        <v>10491</v>
      </c>
      <c r="N267" s="1" t="s">
        <v>9953</v>
      </c>
    </row>
    <row r="268" spans="1:14" x14ac:dyDescent="0.35">
      <c r="A268" s="1" t="s">
        <v>0</v>
      </c>
      <c r="B268" s="3" t="s">
        <v>3183</v>
      </c>
      <c r="C268" s="1" t="s">
        <v>3184</v>
      </c>
      <c r="D268" s="1" t="s">
        <v>10490</v>
      </c>
      <c r="E268" s="1" t="str">
        <f>"2320"</f>
        <v>2320</v>
      </c>
      <c r="F268" s="1" t="s">
        <v>1871</v>
      </c>
      <c r="G268" s="1" t="s">
        <v>1872</v>
      </c>
      <c r="H268" s="1" t="s">
        <v>15</v>
      </c>
      <c r="I268" s="3" t="str">
        <f>"1"</f>
        <v>1</v>
      </c>
      <c r="J268" s="3">
        <v>25765.1</v>
      </c>
      <c r="K268" s="2">
        <v>45920</v>
      </c>
      <c r="L268" s="2">
        <v>45922</v>
      </c>
      <c r="M268" s="1" t="s">
        <v>10489</v>
      </c>
      <c r="N268" s="1" t="s">
        <v>10155</v>
      </c>
    </row>
    <row r="269" spans="1:14" x14ac:dyDescent="0.35">
      <c r="A269" s="1" t="s">
        <v>0</v>
      </c>
      <c r="B269" s="3" t="s">
        <v>3183</v>
      </c>
      <c r="C269" s="1" t="s">
        <v>3435</v>
      </c>
      <c r="D269" s="1" t="s">
        <v>10488</v>
      </c>
      <c r="E269" s="1" t="str">
        <f>"2320"</f>
        <v>2320</v>
      </c>
      <c r="F269" s="1" t="s">
        <v>321</v>
      </c>
      <c r="G269" s="1" t="s">
        <v>322</v>
      </c>
      <c r="H269" s="1" t="s">
        <v>15</v>
      </c>
      <c r="I269" s="3" t="str">
        <f>"1"</f>
        <v>1</v>
      </c>
      <c r="J269" s="3" t="str">
        <f>"155000"</f>
        <v>155000</v>
      </c>
      <c r="K269" s="2">
        <v>45920</v>
      </c>
      <c r="L269" s="2">
        <v>45922</v>
      </c>
      <c r="M269" s="1" t="s">
        <v>10487</v>
      </c>
      <c r="N269" s="1" t="s">
        <v>9953</v>
      </c>
    </row>
    <row r="270" spans="1:14" x14ac:dyDescent="0.35">
      <c r="A270" s="1" t="s">
        <v>0</v>
      </c>
      <c r="B270" s="3" t="s">
        <v>3183</v>
      </c>
      <c r="C270" s="1" t="s">
        <v>3435</v>
      </c>
      <c r="D270" s="1" t="s">
        <v>10486</v>
      </c>
      <c r="E270" s="1" t="str">
        <f>"2310"</f>
        <v>2310</v>
      </c>
      <c r="F270" s="1" t="s">
        <v>2222</v>
      </c>
      <c r="G270" s="1" t="s">
        <v>2223</v>
      </c>
      <c r="H270" s="1" t="s">
        <v>15</v>
      </c>
      <c r="I270" s="3" t="str">
        <f>"1"</f>
        <v>1</v>
      </c>
      <c r="J270" s="3" t="str">
        <f>"9176"</f>
        <v>9176</v>
      </c>
      <c r="K270" s="2">
        <v>45920</v>
      </c>
      <c r="L270" s="2">
        <v>45922</v>
      </c>
      <c r="M270" s="1" t="s">
        <v>10485</v>
      </c>
      <c r="N270" s="1" t="s">
        <v>10484</v>
      </c>
    </row>
    <row r="271" spans="1:14" x14ac:dyDescent="0.35">
      <c r="A271" s="1" t="s">
        <v>0</v>
      </c>
      <c r="B271" s="3" t="s">
        <v>3183</v>
      </c>
      <c r="C271" s="1" t="s">
        <v>3435</v>
      </c>
      <c r="D271" s="1" t="s">
        <v>10483</v>
      </c>
      <c r="E271" s="1" t="str">
        <f>"2320"</f>
        <v>2320</v>
      </c>
      <c r="F271" s="1" t="s">
        <v>274</v>
      </c>
      <c r="G271" s="1" t="s">
        <v>275</v>
      </c>
      <c r="H271" s="1" t="s">
        <v>15</v>
      </c>
      <c r="I271" s="3" t="str">
        <f>"1"</f>
        <v>1</v>
      </c>
      <c r="J271" s="3">
        <v>27058.81</v>
      </c>
      <c r="K271" s="2">
        <v>45920</v>
      </c>
      <c r="L271" s="2">
        <v>45922</v>
      </c>
      <c r="M271" s="1" t="s">
        <v>10480</v>
      </c>
      <c r="N271" s="1" t="s">
        <v>10482</v>
      </c>
    </row>
    <row r="272" spans="1:14" x14ac:dyDescent="0.35">
      <c r="A272" s="1" t="s">
        <v>0</v>
      </c>
      <c r="B272" s="3" t="s">
        <v>3183</v>
      </c>
      <c r="C272" s="1" t="s">
        <v>3435</v>
      </c>
      <c r="D272" s="1" t="s">
        <v>10481</v>
      </c>
      <c r="E272" s="1" t="str">
        <f>"2320"</f>
        <v>2320</v>
      </c>
      <c r="F272" s="1" t="str">
        <f>"015762510"</f>
        <v>015762510</v>
      </c>
      <c r="G272" s="1" t="s">
        <v>1799</v>
      </c>
      <c r="H272" s="1" t="s">
        <v>15</v>
      </c>
      <c r="I272" s="3" t="str">
        <f>"1"</f>
        <v>1</v>
      </c>
      <c r="J272" s="3" t="str">
        <f>"16500"</f>
        <v>16500</v>
      </c>
      <c r="K272" s="2">
        <v>45920</v>
      </c>
      <c r="L272" s="2">
        <v>45922</v>
      </c>
      <c r="M272" s="1" t="s">
        <v>10480</v>
      </c>
      <c r="N272" s="1" t="s">
        <v>10155</v>
      </c>
    </row>
    <row r="273" spans="1:14" x14ac:dyDescent="0.35">
      <c r="A273" s="1" t="s">
        <v>0</v>
      </c>
      <c r="B273" s="3" t="s">
        <v>3183</v>
      </c>
      <c r="C273" s="1" t="s">
        <v>3435</v>
      </c>
      <c r="D273" s="1" t="s">
        <v>10479</v>
      </c>
      <c r="E273" s="1" t="str">
        <f>"2320"</f>
        <v>2320</v>
      </c>
      <c r="F273" s="1" t="s">
        <v>321</v>
      </c>
      <c r="G273" s="1" t="s">
        <v>322</v>
      </c>
      <c r="H273" s="1" t="s">
        <v>15</v>
      </c>
      <c r="I273" s="3" t="str">
        <f>"1"</f>
        <v>1</v>
      </c>
      <c r="J273" s="3">
        <v>36165.07</v>
      </c>
      <c r="K273" s="2">
        <v>45920</v>
      </c>
      <c r="L273" s="2">
        <v>45922</v>
      </c>
      <c r="M273" s="1" t="s">
        <v>10478</v>
      </c>
      <c r="N273" s="1" t="s">
        <v>9953</v>
      </c>
    </row>
    <row r="274" spans="1:14" x14ac:dyDescent="0.35">
      <c r="A274" s="1" t="s">
        <v>0</v>
      </c>
      <c r="B274" s="3" t="s">
        <v>3183</v>
      </c>
      <c r="C274" s="1" t="s">
        <v>3435</v>
      </c>
      <c r="D274" s="1" t="s">
        <v>10477</v>
      </c>
      <c r="E274" s="1" t="str">
        <f>"2320"</f>
        <v>2320</v>
      </c>
      <c r="F274" s="1" t="s">
        <v>321</v>
      </c>
      <c r="G274" s="1" t="s">
        <v>322</v>
      </c>
      <c r="H274" s="1" t="s">
        <v>15</v>
      </c>
      <c r="I274" s="3" t="str">
        <f>"1"</f>
        <v>1</v>
      </c>
      <c r="J274" s="3" t="str">
        <f>"300438"</f>
        <v>300438</v>
      </c>
      <c r="K274" s="2">
        <v>45920</v>
      </c>
      <c r="L274" s="2">
        <v>45922</v>
      </c>
      <c r="M274" s="1" t="s">
        <v>10476</v>
      </c>
      <c r="N274" s="1" t="s">
        <v>9953</v>
      </c>
    </row>
    <row r="275" spans="1:14" x14ac:dyDescent="0.35">
      <c r="A275" s="1" t="s">
        <v>0</v>
      </c>
      <c r="B275" s="3" t="s">
        <v>3183</v>
      </c>
      <c r="C275" s="1" t="s">
        <v>3487</v>
      </c>
      <c r="D275" s="1" t="s">
        <v>10475</v>
      </c>
      <c r="E275" s="1" t="str">
        <f>"2320"</f>
        <v>2320</v>
      </c>
      <c r="F275" s="1" t="s">
        <v>321</v>
      </c>
      <c r="G275" s="1" t="s">
        <v>322</v>
      </c>
      <c r="H275" s="1" t="s">
        <v>15</v>
      </c>
      <c r="I275" s="3" t="str">
        <f>"1"</f>
        <v>1</v>
      </c>
      <c r="J275" s="3">
        <v>36165.07</v>
      </c>
      <c r="K275" s="2">
        <v>45920</v>
      </c>
      <c r="L275" s="2">
        <v>45922</v>
      </c>
      <c r="M275" s="1" t="s">
        <v>10474</v>
      </c>
      <c r="N275" s="1" t="s">
        <v>10155</v>
      </c>
    </row>
    <row r="276" spans="1:14" x14ac:dyDescent="0.35">
      <c r="A276" s="1" t="s">
        <v>0</v>
      </c>
      <c r="B276" s="3" t="s">
        <v>3885</v>
      </c>
      <c r="C276" s="1" t="s">
        <v>4022</v>
      </c>
      <c r="D276" s="1" t="s">
        <v>10473</v>
      </c>
      <c r="E276" s="1" t="str">
        <f>"2320"</f>
        <v>2320</v>
      </c>
      <c r="F276" s="1" t="s">
        <v>1871</v>
      </c>
      <c r="G276" s="1" t="s">
        <v>1872</v>
      </c>
      <c r="H276" s="1" t="s">
        <v>15</v>
      </c>
      <c r="I276" s="3" t="str">
        <f>"1"</f>
        <v>1</v>
      </c>
      <c r="J276" s="3">
        <v>25718.639999999999</v>
      </c>
      <c r="K276" s="2">
        <v>45920</v>
      </c>
      <c r="L276" s="2">
        <v>45922</v>
      </c>
      <c r="M276" s="1" t="s">
        <v>10472</v>
      </c>
      <c r="N276" s="1" t="s">
        <v>10188</v>
      </c>
    </row>
    <row r="277" spans="1:14" x14ac:dyDescent="0.35">
      <c r="A277" s="1" t="s">
        <v>0</v>
      </c>
      <c r="B277" s="3" t="s">
        <v>2494</v>
      </c>
      <c r="C277" s="1" t="s">
        <v>2521</v>
      </c>
      <c r="D277" s="1" t="s">
        <v>10471</v>
      </c>
      <c r="E277" s="1" t="str">
        <f>"3930"</f>
        <v>3930</v>
      </c>
      <c r="F277" s="1" t="s">
        <v>150</v>
      </c>
      <c r="G277" s="1" t="s">
        <v>151</v>
      </c>
      <c r="H277" s="1" t="s">
        <v>15</v>
      </c>
      <c r="I277" s="3" t="str">
        <f>"1"</f>
        <v>1</v>
      </c>
      <c r="J277" s="3" t="str">
        <f>"10000"</f>
        <v>10000</v>
      </c>
      <c r="K277" s="2">
        <v>45919</v>
      </c>
      <c r="L277" s="2">
        <v>45922</v>
      </c>
      <c r="M277" s="1" t="s">
        <v>10470</v>
      </c>
      <c r="N277" s="1" t="s">
        <v>10469</v>
      </c>
    </row>
    <row r="278" spans="1:14" x14ac:dyDescent="0.35">
      <c r="A278" s="1" t="s">
        <v>0</v>
      </c>
      <c r="B278" s="3" t="s">
        <v>3105</v>
      </c>
      <c r="C278" s="1" t="s">
        <v>9334</v>
      </c>
      <c r="D278" s="1" t="s">
        <v>10468</v>
      </c>
      <c r="E278" s="1" t="str">
        <f>"5855"</f>
        <v>5855</v>
      </c>
      <c r="F278" s="1" t="str">
        <f>"015777174"</f>
        <v>015777174</v>
      </c>
      <c r="G278" s="1" t="s">
        <v>1931</v>
      </c>
      <c r="H278" s="1" t="s">
        <v>15</v>
      </c>
      <c r="I278" s="3" t="str">
        <f>"1"</f>
        <v>1</v>
      </c>
      <c r="J278" s="3" t="str">
        <f>"1800"</f>
        <v>1800</v>
      </c>
      <c r="K278" s="2">
        <v>45918</v>
      </c>
      <c r="L278" s="2">
        <v>45919</v>
      </c>
      <c r="M278" s="1" t="s">
        <v>10467</v>
      </c>
      <c r="N278" s="1" t="s">
        <v>10023</v>
      </c>
    </row>
    <row r="279" spans="1:14" x14ac:dyDescent="0.35">
      <c r="A279" s="1" t="s">
        <v>0</v>
      </c>
      <c r="B279" s="3" t="s">
        <v>2248</v>
      </c>
      <c r="C279" s="1" t="s">
        <v>2326</v>
      </c>
      <c r="D279" s="1" t="s">
        <v>10466</v>
      </c>
      <c r="E279" s="1" t="str">
        <f>"6545"</f>
        <v>6545</v>
      </c>
      <c r="F279" s="1" t="str">
        <f>"015300929"</f>
        <v>015300929</v>
      </c>
      <c r="G279" s="1" t="s">
        <v>293</v>
      </c>
      <c r="H279" s="1" t="s">
        <v>19</v>
      </c>
      <c r="I279" s="3" t="str">
        <f>"3"</f>
        <v>3</v>
      </c>
      <c r="J279" s="3">
        <v>62.81</v>
      </c>
      <c r="K279" s="2">
        <v>45918</v>
      </c>
      <c r="L279" s="2">
        <v>45918</v>
      </c>
      <c r="M279" s="1" t="s">
        <v>10465</v>
      </c>
      <c r="N279" s="1" t="s">
        <v>10036</v>
      </c>
    </row>
    <row r="280" spans="1:14" x14ac:dyDescent="0.35">
      <c r="A280" s="1" t="s">
        <v>0</v>
      </c>
      <c r="B280" s="3" t="s">
        <v>2248</v>
      </c>
      <c r="C280" s="1" t="s">
        <v>2326</v>
      </c>
      <c r="D280" s="1" t="s">
        <v>10464</v>
      </c>
      <c r="E280" s="1" t="str">
        <f>"4240"</f>
        <v>4240</v>
      </c>
      <c r="F280" s="1" t="str">
        <f>"015700319"</f>
        <v>015700319</v>
      </c>
      <c r="G280" s="1" t="s">
        <v>830</v>
      </c>
      <c r="H280" s="1" t="s">
        <v>15</v>
      </c>
      <c r="I280" s="3" t="str">
        <f>"2"</f>
        <v>2</v>
      </c>
      <c r="J280" s="3">
        <v>39.07</v>
      </c>
      <c r="K280" s="2">
        <v>45918</v>
      </c>
      <c r="L280" s="2">
        <v>45918</v>
      </c>
      <c r="M280" s="1" t="s">
        <v>10463</v>
      </c>
      <c r="N280" s="1" t="s">
        <v>10036</v>
      </c>
    </row>
    <row r="281" spans="1:14" x14ac:dyDescent="0.35">
      <c r="A281" s="1" t="s">
        <v>0</v>
      </c>
      <c r="B281" s="3" t="s">
        <v>2248</v>
      </c>
      <c r="C281" s="1" t="s">
        <v>2326</v>
      </c>
      <c r="D281" s="1" t="s">
        <v>10462</v>
      </c>
      <c r="E281" s="1" t="str">
        <f>"8145"</f>
        <v>8145</v>
      </c>
      <c r="F281" s="1" t="str">
        <f>"015409688"</f>
        <v>015409688</v>
      </c>
      <c r="G281" s="1" t="s">
        <v>599</v>
      </c>
      <c r="H281" s="1" t="s">
        <v>15</v>
      </c>
      <c r="I281" s="3" t="str">
        <f>"2"</f>
        <v>2</v>
      </c>
      <c r="J281" s="3">
        <v>178.11</v>
      </c>
      <c r="K281" s="2">
        <v>45918</v>
      </c>
      <c r="L281" s="2">
        <v>45918</v>
      </c>
      <c r="M281" s="1" t="s">
        <v>10461</v>
      </c>
      <c r="N281" s="1" t="s">
        <v>10036</v>
      </c>
    </row>
    <row r="282" spans="1:14" x14ac:dyDescent="0.35">
      <c r="A282" s="1" t="s">
        <v>0</v>
      </c>
      <c r="B282" s="3" t="s">
        <v>2248</v>
      </c>
      <c r="C282" s="1" t="s">
        <v>2326</v>
      </c>
      <c r="D282" s="1" t="s">
        <v>10460</v>
      </c>
      <c r="E282" s="1" t="str">
        <f>"7310"</f>
        <v>7310</v>
      </c>
      <c r="F282" s="1" t="s">
        <v>10459</v>
      </c>
      <c r="G282" s="1" t="s">
        <v>10458</v>
      </c>
      <c r="H282" s="1" t="s">
        <v>15</v>
      </c>
      <c r="I282" s="3" t="str">
        <f>"1"</f>
        <v>1</v>
      </c>
      <c r="J282" s="3">
        <v>679.56</v>
      </c>
      <c r="K282" s="2">
        <v>45918</v>
      </c>
      <c r="L282" s="2">
        <v>45918</v>
      </c>
      <c r="M282" s="1" t="s">
        <v>10457</v>
      </c>
      <c r="N282" s="1" t="s">
        <v>10036</v>
      </c>
    </row>
    <row r="283" spans="1:14" x14ac:dyDescent="0.35">
      <c r="A283" s="1" t="s">
        <v>0</v>
      </c>
      <c r="B283" s="3" t="s">
        <v>2248</v>
      </c>
      <c r="C283" s="1" t="s">
        <v>2326</v>
      </c>
      <c r="D283" s="1" t="s">
        <v>10456</v>
      </c>
      <c r="E283" s="1" t="str">
        <f>"2060"</f>
        <v>2060</v>
      </c>
      <c r="F283" s="1" t="s">
        <v>10455</v>
      </c>
      <c r="G283" s="1" t="s">
        <v>10454</v>
      </c>
      <c r="H283" s="1" t="s">
        <v>15</v>
      </c>
      <c r="I283" s="3" t="str">
        <f>"4"</f>
        <v>4</v>
      </c>
      <c r="J283" s="3" t="str">
        <f>"3695"</f>
        <v>3695</v>
      </c>
      <c r="K283" s="2">
        <v>45918</v>
      </c>
      <c r="L283" s="2">
        <v>45918</v>
      </c>
      <c r="M283" s="1" t="s">
        <v>10453</v>
      </c>
      <c r="N283" s="1" t="s">
        <v>10036</v>
      </c>
    </row>
    <row r="284" spans="1:14" x14ac:dyDescent="0.35">
      <c r="A284" s="1" t="s">
        <v>0</v>
      </c>
      <c r="B284" s="3" t="s">
        <v>2248</v>
      </c>
      <c r="C284" s="1" t="s">
        <v>2326</v>
      </c>
      <c r="D284" s="1" t="s">
        <v>10452</v>
      </c>
      <c r="E284" s="1" t="str">
        <f>"8465"</f>
        <v>8465</v>
      </c>
      <c r="F284" s="1" t="str">
        <f>"016733374"</f>
        <v>016733374</v>
      </c>
      <c r="G284" s="1" t="s">
        <v>857</v>
      </c>
      <c r="H284" s="1" t="s">
        <v>15</v>
      </c>
      <c r="I284" s="3" t="str">
        <f>"13"</f>
        <v>13</v>
      </c>
      <c r="J284" s="3">
        <v>389.21</v>
      </c>
      <c r="K284" s="2">
        <v>45918</v>
      </c>
      <c r="L284" s="2">
        <v>45918</v>
      </c>
      <c r="M284" s="1" t="s">
        <v>10451</v>
      </c>
      <c r="N284" s="1" t="s">
        <v>10036</v>
      </c>
    </row>
    <row r="285" spans="1:14" x14ac:dyDescent="0.35">
      <c r="A285" s="1" t="s">
        <v>0</v>
      </c>
      <c r="B285" s="3" t="s">
        <v>2248</v>
      </c>
      <c r="C285" s="1" t="s">
        <v>2326</v>
      </c>
      <c r="D285" s="1" t="s">
        <v>10450</v>
      </c>
      <c r="E285" s="1" t="str">
        <f>"4240"</f>
        <v>4240</v>
      </c>
      <c r="F285" s="1" t="str">
        <f>"015045727"</f>
        <v>015045727</v>
      </c>
      <c r="G285" s="1" t="s">
        <v>211</v>
      </c>
      <c r="H285" s="1" t="s">
        <v>15</v>
      </c>
      <c r="I285" s="3" t="str">
        <f>"55"</f>
        <v>55</v>
      </c>
      <c r="J285" s="3">
        <v>71.790000000000006</v>
      </c>
      <c r="K285" s="2">
        <v>45918</v>
      </c>
      <c r="L285" s="2">
        <v>45918</v>
      </c>
      <c r="M285" s="1" t="s">
        <v>10449</v>
      </c>
      <c r="N285" s="1" t="s">
        <v>10036</v>
      </c>
    </row>
    <row r="286" spans="1:14" x14ac:dyDescent="0.35">
      <c r="A286" s="1" t="s">
        <v>0</v>
      </c>
      <c r="B286" s="3" t="s">
        <v>2248</v>
      </c>
      <c r="C286" s="1" t="s">
        <v>2326</v>
      </c>
      <c r="D286" s="1" t="s">
        <v>10448</v>
      </c>
      <c r="E286" s="1" t="str">
        <f>"6545"</f>
        <v>6545</v>
      </c>
      <c r="F286" s="1" t="str">
        <f>"015300929"</f>
        <v>015300929</v>
      </c>
      <c r="G286" s="1" t="s">
        <v>293</v>
      </c>
      <c r="H286" s="1" t="s">
        <v>19</v>
      </c>
      <c r="I286" s="3" t="str">
        <f>"3"</f>
        <v>3</v>
      </c>
      <c r="J286" s="3">
        <v>62.81</v>
      </c>
      <c r="K286" s="2">
        <v>45918</v>
      </c>
      <c r="L286" s="2">
        <v>45918</v>
      </c>
      <c r="M286" s="1" t="s">
        <v>10447</v>
      </c>
      <c r="N286" s="1" t="s">
        <v>10036</v>
      </c>
    </row>
    <row r="287" spans="1:14" x14ac:dyDescent="0.35">
      <c r="A287" s="1" t="s">
        <v>0</v>
      </c>
      <c r="B287" s="3" t="s">
        <v>2248</v>
      </c>
      <c r="C287" s="1" t="s">
        <v>2326</v>
      </c>
      <c r="D287" s="1" t="s">
        <v>10446</v>
      </c>
      <c r="E287" s="1" t="str">
        <f>"4240"</f>
        <v>4240</v>
      </c>
      <c r="F287" s="1" t="str">
        <f>"015700319"</f>
        <v>015700319</v>
      </c>
      <c r="G287" s="1" t="s">
        <v>830</v>
      </c>
      <c r="H287" s="1" t="s">
        <v>15</v>
      </c>
      <c r="I287" s="3" t="str">
        <f>"60"</f>
        <v>60</v>
      </c>
      <c r="J287" s="3">
        <v>39.07</v>
      </c>
      <c r="K287" s="2">
        <v>45918</v>
      </c>
      <c r="L287" s="2">
        <v>45918</v>
      </c>
      <c r="M287" s="1" t="s">
        <v>10445</v>
      </c>
      <c r="N287" s="1" t="s">
        <v>10036</v>
      </c>
    </row>
    <row r="288" spans="1:14" x14ac:dyDescent="0.35">
      <c r="A288" s="1" t="s">
        <v>0</v>
      </c>
      <c r="B288" s="3" t="s">
        <v>2248</v>
      </c>
      <c r="C288" s="1" t="s">
        <v>2326</v>
      </c>
      <c r="D288" s="1" t="s">
        <v>10444</v>
      </c>
      <c r="E288" s="1" t="str">
        <f>"2360"</f>
        <v>2360</v>
      </c>
      <c r="F288" s="1" t="str">
        <f>"016629081"</f>
        <v>016629081</v>
      </c>
      <c r="G288" s="1" t="s">
        <v>14</v>
      </c>
      <c r="H288" s="1" t="s">
        <v>15</v>
      </c>
      <c r="I288" s="3" t="str">
        <f>"1"</f>
        <v>1</v>
      </c>
      <c r="J288" s="3" t="str">
        <f>"200000"</f>
        <v>200000</v>
      </c>
      <c r="K288" s="2">
        <v>45918</v>
      </c>
      <c r="L288" s="2">
        <v>45918</v>
      </c>
      <c r="M288" s="1" t="s">
        <v>10443</v>
      </c>
      <c r="N288" s="1" t="s">
        <v>10036</v>
      </c>
    </row>
    <row r="289" spans="1:14" x14ac:dyDescent="0.35">
      <c r="A289" s="1" t="s">
        <v>0</v>
      </c>
      <c r="B289" s="3" t="s">
        <v>2248</v>
      </c>
      <c r="C289" s="1" t="s">
        <v>2326</v>
      </c>
      <c r="D289" s="1" t="s">
        <v>10442</v>
      </c>
      <c r="E289" s="1" t="str">
        <f>"2320"</f>
        <v>2320</v>
      </c>
      <c r="F289" s="1" t="str">
        <f>"010747642"</f>
        <v>010747642</v>
      </c>
      <c r="G289" s="1" t="s">
        <v>10441</v>
      </c>
      <c r="H289" s="1" t="s">
        <v>15</v>
      </c>
      <c r="I289" s="3" t="str">
        <f>"1"</f>
        <v>1</v>
      </c>
      <c r="J289" s="3" t="str">
        <f>"65070"</f>
        <v>65070</v>
      </c>
      <c r="K289" s="2">
        <v>45918</v>
      </c>
      <c r="L289" s="2">
        <v>45918</v>
      </c>
      <c r="M289" s="1" t="s">
        <v>10440</v>
      </c>
      <c r="N289" s="1" t="s">
        <v>10036</v>
      </c>
    </row>
    <row r="290" spans="1:14" x14ac:dyDescent="0.35">
      <c r="A290" s="1" t="s">
        <v>0</v>
      </c>
      <c r="B290" s="3" t="s">
        <v>2248</v>
      </c>
      <c r="C290" s="1" t="s">
        <v>2326</v>
      </c>
      <c r="D290" s="1" t="s">
        <v>10439</v>
      </c>
      <c r="E290" s="1" t="str">
        <f>"2320"</f>
        <v>2320</v>
      </c>
      <c r="F290" s="1" t="str">
        <f>"013469317"</f>
        <v>013469317</v>
      </c>
      <c r="G290" s="1" t="s">
        <v>604</v>
      </c>
      <c r="H290" s="1" t="s">
        <v>15</v>
      </c>
      <c r="I290" s="3" t="str">
        <f>"1"</f>
        <v>1</v>
      </c>
      <c r="J290" s="3" t="str">
        <f>"94171"</f>
        <v>94171</v>
      </c>
      <c r="K290" s="2">
        <v>45918</v>
      </c>
      <c r="L290" s="2">
        <v>45918</v>
      </c>
      <c r="M290" s="1" t="s">
        <v>10438</v>
      </c>
      <c r="N290" s="1" t="s">
        <v>10036</v>
      </c>
    </row>
    <row r="291" spans="1:14" x14ac:dyDescent="0.35">
      <c r="A291" s="1" t="s">
        <v>0</v>
      </c>
      <c r="B291" s="3" t="s">
        <v>2494</v>
      </c>
      <c r="C291" s="1" t="s">
        <v>10437</v>
      </c>
      <c r="D291" s="1" t="s">
        <v>10436</v>
      </c>
      <c r="E291" s="1" t="str">
        <f>"5855"</f>
        <v>5855</v>
      </c>
      <c r="F291" s="1" t="str">
        <f>"015847217"</f>
        <v>015847217</v>
      </c>
      <c r="G291" s="1" t="s">
        <v>1942</v>
      </c>
      <c r="H291" s="1" t="s">
        <v>15</v>
      </c>
      <c r="I291" s="3" t="str">
        <f>"12"</f>
        <v>12</v>
      </c>
      <c r="J291" s="3" t="str">
        <f>"35674"</f>
        <v>35674</v>
      </c>
      <c r="K291" s="2">
        <v>45916</v>
      </c>
      <c r="L291" s="2">
        <v>45918</v>
      </c>
      <c r="M291" s="1" t="s">
        <v>10435</v>
      </c>
      <c r="N291" s="1" t="s">
        <v>10434</v>
      </c>
    </row>
    <row r="292" spans="1:14" x14ac:dyDescent="0.35">
      <c r="A292" s="1" t="s">
        <v>0</v>
      </c>
      <c r="B292" s="3" t="s">
        <v>3513</v>
      </c>
      <c r="C292" s="1" t="s">
        <v>3865</v>
      </c>
      <c r="D292" s="1" t="s">
        <v>10433</v>
      </c>
      <c r="E292" s="1" t="str">
        <f>"2330"</f>
        <v>2330</v>
      </c>
      <c r="F292" s="1" t="str">
        <f>"013875426"</f>
        <v>013875426</v>
      </c>
      <c r="G292" s="1" t="s">
        <v>2383</v>
      </c>
      <c r="H292" s="1" t="s">
        <v>15</v>
      </c>
      <c r="I292" s="3" t="str">
        <f>"1"</f>
        <v>1</v>
      </c>
      <c r="J292" s="3" t="str">
        <f>"8954"</f>
        <v>8954</v>
      </c>
      <c r="K292" s="2">
        <v>45917</v>
      </c>
      <c r="L292" s="2">
        <v>45917</v>
      </c>
      <c r="M292" s="1" t="s">
        <v>10432</v>
      </c>
      <c r="N292" s="1" t="s">
        <v>10431</v>
      </c>
    </row>
    <row r="293" spans="1:14" x14ac:dyDescent="0.35">
      <c r="A293" s="1" t="s">
        <v>0</v>
      </c>
      <c r="B293" s="3" t="s">
        <v>3183</v>
      </c>
      <c r="C293" s="1" t="s">
        <v>10430</v>
      </c>
      <c r="D293" s="1" t="s">
        <v>10429</v>
      </c>
      <c r="E293" s="1" t="str">
        <f>"2320"</f>
        <v>2320</v>
      </c>
      <c r="F293" s="1" t="s">
        <v>321</v>
      </c>
      <c r="G293" s="1" t="s">
        <v>322</v>
      </c>
      <c r="H293" s="1" t="s">
        <v>15</v>
      </c>
      <c r="I293" s="3" t="str">
        <f>"1"</f>
        <v>1</v>
      </c>
      <c r="J293" s="3" t="str">
        <f>"91000"</f>
        <v>91000</v>
      </c>
      <c r="K293" s="2">
        <v>45916</v>
      </c>
      <c r="L293" s="2">
        <v>45917</v>
      </c>
      <c r="M293" s="1" t="s">
        <v>10428</v>
      </c>
      <c r="N293" s="1" t="s">
        <v>9953</v>
      </c>
    </row>
    <row r="294" spans="1:14" x14ac:dyDescent="0.35">
      <c r="A294" s="1" t="s">
        <v>0</v>
      </c>
      <c r="B294" s="3" t="s">
        <v>3183</v>
      </c>
      <c r="C294" s="1" t="s">
        <v>3256</v>
      </c>
      <c r="D294" s="1" t="s">
        <v>10427</v>
      </c>
      <c r="E294" s="1" t="str">
        <f>"4210"</f>
        <v>4210</v>
      </c>
      <c r="F294" s="1" t="str">
        <f>"011594823"</f>
        <v>011594823</v>
      </c>
      <c r="G294" s="1" t="s">
        <v>6901</v>
      </c>
      <c r="H294" s="1" t="s">
        <v>15</v>
      </c>
      <c r="I294" s="3" t="str">
        <f>"1"</f>
        <v>1</v>
      </c>
      <c r="J294" s="3" t="str">
        <f>"152697"</f>
        <v>152697</v>
      </c>
      <c r="K294" s="2">
        <v>45913</v>
      </c>
      <c r="L294" s="2">
        <v>45917</v>
      </c>
      <c r="M294" s="1" t="s">
        <v>10426</v>
      </c>
      <c r="N294" s="1" t="s">
        <v>10425</v>
      </c>
    </row>
    <row r="295" spans="1:14" x14ac:dyDescent="0.35">
      <c r="A295" s="1" t="s">
        <v>0</v>
      </c>
      <c r="B295" s="3" t="s">
        <v>3183</v>
      </c>
      <c r="C295" s="1" t="s">
        <v>10424</v>
      </c>
      <c r="D295" s="1" t="s">
        <v>10423</v>
      </c>
      <c r="E295" s="1" t="str">
        <f>"2320"</f>
        <v>2320</v>
      </c>
      <c r="F295" s="1" t="s">
        <v>274</v>
      </c>
      <c r="G295" s="1" t="s">
        <v>275</v>
      </c>
      <c r="H295" s="1" t="s">
        <v>15</v>
      </c>
      <c r="I295" s="3" t="str">
        <f>"1"</f>
        <v>1</v>
      </c>
      <c r="J295" s="3" t="str">
        <f>"40000"</f>
        <v>40000</v>
      </c>
      <c r="K295" s="2">
        <v>45916</v>
      </c>
      <c r="L295" s="2">
        <v>45916</v>
      </c>
      <c r="M295" s="1" t="s">
        <v>10422</v>
      </c>
      <c r="N295" s="1" t="s">
        <v>9953</v>
      </c>
    </row>
    <row r="296" spans="1:14" x14ac:dyDescent="0.35">
      <c r="A296" s="1" t="s">
        <v>0</v>
      </c>
      <c r="B296" s="3" t="s">
        <v>3183</v>
      </c>
      <c r="C296" s="1" t="s">
        <v>3490</v>
      </c>
      <c r="D296" s="1" t="s">
        <v>10421</v>
      </c>
      <c r="E296" s="1" t="str">
        <f>"3805"</f>
        <v>3805</v>
      </c>
      <c r="F296" s="1" t="s">
        <v>2913</v>
      </c>
      <c r="G296" s="1" t="s">
        <v>2914</v>
      </c>
      <c r="H296" s="1" t="s">
        <v>15</v>
      </c>
      <c r="I296" s="3" t="str">
        <f>"1"</f>
        <v>1</v>
      </c>
      <c r="J296" s="3" t="str">
        <f>"72000"</f>
        <v>72000</v>
      </c>
      <c r="K296" s="2">
        <v>45915</v>
      </c>
      <c r="L296" s="2">
        <v>45915</v>
      </c>
      <c r="M296" s="1" t="s">
        <v>10420</v>
      </c>
      <c r="N296" s="1" t="s">
        <v>10155</v>
      </c>
    </row>
    <row r="297" spans="1:14" x14ac:dyDescent="0.35">
      <c r="A297" s="1" t="s">
        <v>0</v>
      </c>
      <c r="B297" s="3" t="s">
        <v>3183</v>
      </c>
      <c r="C297" s="1" t="s">
        <v>3490</v>
      </c>
      <c r="D297" s="1" t="s">
        <v>10419</v>
      </c>
      <c r="E297" s="1" t="str">
        <f>"2420"</f>
        <v>2420</v>
      </c>
      <c r="F297" s="1" t="s">
        <v>405</v>
      </c>
      <c r="G297" s="1" t="s">
        <v>406</v>
      </c>
      <c r="H297" s="1" t="s">
        <v>15</v>
      </c>
      <c r="I297" s="3" t="str">
        <f>"1"</f>
        <v>1</v>
      </c>
      <c r="J297" s="3" t="str">
        <f>"53275"</f>
        <v>53275</v>
      </c>
      <c r="K297" s="2">
        <v>45915</v>
      </c>
      <c r="L297" s="2">
        <v>45915</v>
      </c>
      <c r="M297" s="1" t="s">
        <v>10418</v>
      </c>
      <c r="N297" s="1" t="s">
        <v>9953</v>
      </c>
    </row>
    <row r="298" spans="1:14" x14ac:dyDescent="0.35">
      <c r="A298" s="1" t="s">
        <v>0</v>
      </c>
      <c r="B298" s="3" t="s">
        <v>3183</v>
      </c>
      <c r="C298" s="1" t="s">
        <v>3490</v>
      </c>
      <c r="D298" s="1" t="s">
        <v>10417</v>
      </c>
      <c r="E298" s="1" t="str">
        <f>"2320"</f>
        <v>2320</v>
      </c>
      <c r="F298" s="1" t="s">
        <v>274</v>
      </c>
      <c r="G298" s="1" t="s">
        <v>275</v>
      </c>
      <c r="H298" s="1" t="s">
        <v>15</v>
      </c>
      <c r="I298" s="3" t="str">
        <f>"1"</f>
        <v>1</v>
      </c>
      <c r="J298" s="3" t="str">
        <f>"8000"</f>
        <v>8000</v>
      </c>
      <c r="K298" s="2">
        <v>45915</v>
      </c>
      <c r="L298" s="2">
        <v>45915</v>
      </c>
      <c r="M298" s="1" t="s">
        <v>10416</v>
      </c>
      <c r="N298" s="1" t="s">
        <v>10415</v>
      </c>
    </row>
    <row r="299" spans="1:14" x14ac:dyDescent="0.35">
      <c r="A299" s="1" t="s">
        <v>0</v>
      </c>
      <c r="B299" s="3" t="s">
        <v>2720</v>
      </c>
      <c r="C299" s="1" t="s">
        <v>2897</v>
      </c>
      <c r="D299" s="1" t="s">
        <v>10414</v>
      </c>
      <c r="E299" s="1" t="str">
        <f>"1240"</f>
        <v>1240</v>
      </c>
      <c r="F299" s="1" t="s">
        <v>1461</v>
      </c>
      <c r="G299" s="1" t="s">
        <v>1462</v>
      </c>
      <c r="H299" s="1" t="s">
        <v>15</v>
      </c>
      <c r="I299" s="3" t="str">
        <f>"1"</f>
        <v>1</v>
      </c>
      <c r="J299" s="3">
        <v>602.34</v>
      </c>
      <c r="K299" s="2">
        <v>45914</v>
      </c>
      <c r="L299" s="2">
        <v>45915</v>
      </c>
      <c r="M299" s="1" t="s">
        <v>10408</v>
      </c>
      <c r="N299" s="1" t="s">
        <v>10407</v>
      </c>
    </row>
    <row r="300" spans="1:14" x14ac:dyDescent="0.35">
      <c r="A300" s="1" t="s">
        <v>0</v>
      </c>
      <c r="B300" s="3" t="s">
        <v>2720</v>
      </c>
      <c r="C300" s="1" t="s">
        <v>2897</v>
      </c>
      <c r="D300" s="1" t="s">
        <v>10413</v>
      </c>
      <c r="E300" s="1" t="str">
        <f>"1240"</f>
        <v>1240</v>
      </c>
      <c r="F300" s="1" t="s">
        <v>1461</v>
      </c>
      <c r="G300" s="1" t="s">
        <v>1462</v>
      </c>
      <c r="H300" s="1" t="s">
        <v>15</v>
      </c>
      <c r="I300" s="3" t="str">
        <f>"1"</f>
        <v>1</v>
      </c>
      <c r="J300" s="3">
        <v>602.34</v>
      </c>
      <c r="K300" s="2">
        <v>45914</v>
      </c>
      <c r="L300" s="2">
        <v>45915</v>
      </c>
      <c r="M300" s="1" t="s">
        <v>10408</v>
      </c>
      <c r="N300" s="1" t="s">
        <v>10407</v>
      </c>
    </row>
    <row r="301" spans="1:14" x14ac:dyDescent="0.35">
      <c r="A301" s="1" t="s">
        <v>0</v>
      </c>
      <c r="B301" s="3" t="s">
        <v>2720</v>
      </c>
      <c r="C301" s="1" t="s">
        <v>2897</v>
      </c>
      <c r="D301" s="1" t="s">
        <v>10412</v>
      </c>
      <c r="E301" s="1" t="str">
        <f>"1240"</f>
        <v>1240</v>
      </c>
      <c r="F301" s="1" t="s">
        <v>1461</v>
      </c>
      <c r="G301" s="1" t="s">
        <v>1462</v>
      </c>
      <c r="H301" s="1" t="s">
        <v>15</v>
      </c>
      <c r="I301" s="3" t="str">
        <f>"1"</f>
        <v>1</v>
      </c>
      <c r="J301" s="3">
        <v>602.34</v>
      </c>
      <c r="K301" s="2">
        <v>45914</v>
      </c>
      <c r="L301" s="2">
        <v>45915</v>
      </c>
      <c r="M301" s="1" t="s">
        <v>10408</v>
      </c>
      <c r="N301" s="1" t="s">
        <v>10407</v>
      </c>
    </row>
    <row r="302" spans="1:14" x14ac:dyDescent="0.35">
      <c r="A302" s="1" t="s">
        <v>0</v>
      </c>
      <c r="B302" s="3" t="s">
        <v>2720</v>
      </c>
      <c r="C302" s="1" t="s">
        <v>2897</v>
      </c>
      <c r="D302" s="1" t="s">
        <v>10411</v>
      </c>
      <c r="E302" s="1" t="str">
        <f>"1240"</f>
        <v>1240</v>
      </c>
      <c r="F302" s="1" t="s">
        <v>1461</v>
      </c>
      <c r="G302" s="1" t="s">
        <v>1462</v>
      </c>
      <c r="H302" s="1" t="s">
        <v>15</v>
      </c>
      <c r="I302" s="3" t="str">
        <f>"1"</f>
        <v>1</v>
      </c>
      <c r="J302" s="3">
        <v>602.34</v>
      </c>
      <c r="K302" s="2">
        <v>45914</v>
      </c>
      <c r="L302" s="2">
        <v>45915</v>
      </c>
      <c r="M302" s="1" t="s">
        <v>10408</v>
      </c>
      <c r="N302" s="1" t="s">
        <v>10407</v>
      </c>
    </row>
    <row r="303" spans="1:14" x14ac:dyDescent="0.35">
      <c r="A303" s="1" t="s">
        <v>0</v>
      </c>
      <c r="B303" s="3" t="s">
        <v>2720</v>
      </c>
      <c r="C303" s="1" t="s">
        <v>2897</v>
      </c>
      <c r="D303" s="1" t="s">
        <v>10410</v>
      </c>
      <c r="E303" s="1" t="str">
        <f>"1240"</f>
        <v>1240</v>
      </c>
      <c r="F303" s="1" t="s">
        <v>1461</v>
      </c>
      <c r="G303" s="1" t="s">
        <v>1462</v>
      </c>
      <c r="H303" s="1" t="s">
        <v>15</v>
      </c>
      <c r="I303" s="3" t="str">
        <f>"1"</f>
        <v>1</v>
      </c>
      <c r="J303" s="3">
        <v>602.34</v>
      </c>
      <c r="K303" s="2">
        <v>45914</v>
      </c>
      <c r="L303" s="2">
        <v>45915</v>
      </c>
      <c r="M303" s="1" t="s">
        <v>10408</v>
      </c>
      <c r="N303" s="1" t="s">
        <v>10407</v>
      </c>
    </row>
    <row r="304" spans="1:14" x14ac:dyDescent="0.35">
      <c r="A304" s="1" t="s">
        <v>0</v>
      </c>
      <c r="B304" s="3" t="s">
        <v>2720</v>
      </c>
      <c r="C304" s="1" t="s">
        <v>2897</v>
      </c>
      <c r="D304" s="1" t="s">
        <v>10409</v>
      </c>
      <c r="E304" s="1" t="str">
        <f>"1240"</f>
        <v>1240</v>
      </c>
      <c r="F304" s="1" t="s">
        <v>1461</v>
      </c>
      <c r="G304" s="1" t="s">
        <v>1462</v>
      </c>
      <c r="H304" s="1" t="s">
        <v>15</v>
      </c>
      <c r="I304" s="3" t="str">
        <f>"1"</f>
        <v>1</v>
      </c>
      <c r="J304" s="3">
        <v>602.34</v>
      </c>
      <c r="K304" s="2">
        <v>45914</v>
      </c>
      <c r="L304" s="2">
        <v>45915</v>
      </c>
      <c r="M304" s="1" t="s">
        <v>10408</v>
      </c>
      <c r="N304" s="1" t="s">
        <v>10407</v>
      </c>
    </row>
    <row r="305" spans="1:14" x14ac:dyDescent="0.35">
      <c r="A305" s="1" t="s">
        <v>0</v>
      </c>
      <c r="B305" s="3" t="s">
        <v>3183</v>
      </c>
      <c r="C305" s="1" t="s">
        <v>3435</v>
      </c>
      <c r="D305" s="1" t="s">
        <v>10406</v>
      </c>
      <c r="E305" s="1" t="str">
        <f>"2320"</f>
        <v>2320</v>
      </c>
      <c r="F305" s="1" t="s">
        <v>321</v>
      </c>
      <c r="G305" s="1" t="s">
        <v>322</v>
      </c>
      <c r="H305" s="1" t="s">
        <v>15</v>
      </c>
      <c r="I305" s="3" t="str">
        <f>"1"</f>
        <v>1</v>
      </c>
      <c r="J305" s="3">
        <v>21545.32</v>
      </c>
      <c r="K305" s="2">
        <v>45914</v>
      </c>
      <c r="L305" s="2">
        <v>45915</v>
      </c>
      <c r="M305" s="1" t="s">
        <v>10405</v>
      </c>
      <c r="N305" s="1" t="s">
        <v>9953</v>
      </c>
    </row>
    <row r="306" spans="1:14" x14ac:dyDescent="0.35">
      <c r="A306" s="1" t="s">
        <v>0</v>
      </c>
      <c r="B306" s="3" t="s">
        <v>3183</v>
      </c>
      <c r="C306" s="1" t="s">
        <v>3184</v>
      </c>
      <c r="D306" s="1" t="s">
        <v>10404</v>
      </c>
      <c r="E306" s="1" t="str">
        <f>"2320"</f>
        <v>2320</v>
      </c>
      <c r="F306" s="1" t="s">
        <v>321</v>
      </c>
      <c r="G306" s="1" t="s">
        <v>322</v>
      </c>
      <c r="H306" s="1" t="s">
        <v>15</v>
      </c>
      <c r="I306" s="3" t="str">
        <f>"1"</f>
        <v>1</v>
      </c>
      <c r="J306" s="3" t="str">
        <f>"91000"</f>
        <v>91000</v>
      </c>
      <c r="K306" s="2">
        <v>45913</v>
      </c>
      <c r="L306" s="2">
        <v>45915</v>
      </c>
      <c r="M306" s="1" t="s">
        <v>10403</v>
      </c>
      <c r="N306" s="1" t="s">
        <v>10402</v>
      </c>
    </row>
    <row r="307" spans="1:14" x14ac:dyDescent="0.35">
      <c r="A307" s="1" t="s">
        <v>0</v>
      </c>
      <c r="B307" s="3" t="s">
        <v>3183</v>
      </c>
      <c r="C307" s="1" t="s">
        <v>3184</v>
      </c>
      <c r="D307" s="1" t="s">
        <v>10401</v>
      </c>
      <c r="E307" s="1" t="str">
        <f>"2320"</f>
        <v>2320</v>
      </c>
      <c r="F307" s="1" t="s">
        <v>321</v>
      </c>
      <c r="G307" s="1" t="s">
        <v>322</v>
      </c>
      <c r="H307" s="1" t="s">
        <v>15</v>
      </c>
      <c r="I307" s="3" t="str">
        <f>"1"</f>
        <v>1</v>
      </c>
      <c r="J307" s="3" t="str">
        <f>"91000"</f>
        <v>91000</v>
      </c>
      <c r="K307" s="2">
        <v>45913</v>
      </c>
      <c r="L307" s="2">
        <v>45915</v>
      </c>
      <c r="M307" s="1" t="s">
        <v>10400</v>
      </c>
      <c r="N307" s="1" t="s">
        <v>10116</v>
      </c>
    </row>
    <row r="308" spans="1:14" x14ac:dyDescent="0.35">
      <c r="A308" s="1" t="s">
        <v>0</v>
      </c>
      <c r="B308" s="3" t="s">
        <v>3183</v>
      </c>
      <c r="C308" s="1" t="s">
        <v>3184</v>
      </c>
      <c r="D308" s="1" t="s">
        <v>10399</v>
      </c>
      <c r="E308" s="1" t="str">
        <f>"2320"</f>
        <v>2320</v>
      </c>
      <c r="F308" s="1" t="str">
        <f>"013455182"</f>
        <v>013455182</v>
      </c>
      <c r="G308" s="1" t="s">
        <v>1820</v>
      </c>
      <c r="H308" s="1" t="s">
        <v>15</v>
      </c>
      <c r="I308" s="3" t="str">
        <f>"1"</f>
        <v>1</v>
      </c>
      <c r="J308" s="3">
        <v>49520.89</v>
      </c>
      <c r="K308" s="2">
        <v>45913</v>
      </c>
      <c r="L308" s="2">
        <v>45915</v>
      </c>
      <c r="M308" s="1" t="s">
        <v>10398</v>
      </c>
      <c r="N308" s="1" t="s">
        <v>9953</v>
      </c>
    </row>
    <row r="309" spans="1:14" x14ac:dyDescent="0.35">
      <c r="A309" s="1" t="s">
        <v>0</v>
      </c>
      <c r="B309" s="3" t="s">
        <v>3183</v>
      </c>
      <c r="C309" s="1" t="s">
        <v>3184</v>
      </c>
      <c r="D309" s="1" t="s">
        <v>10397</v>
      </c>
      <c r="E309" s="1" t="str">
        <f>"2320"</f>
        <v>2320</v>
      </c>
      <c r="F309" s="1" t="s">
        <v>321</v>
      </c>
      <c r="G309" s="1" t="s">
        <v>322</v>
      </c>
      <c r="H309" s="1" t="s">
        <v>15</v>
      </c>
      <c r="I309" s="3" t="str">
        <f>"1"</f>
        <v>1</v>
      </c>
      <c r="J309" s="3">
        <v>21545.32</v>
      </c>
      <c r="K309" s="2">
        <v>45913</v>
      </c>
      <c r="L309" s="2">
        <v>45915</v>
      </c>
      <c r="M309" s="1" t="s">
        <v>10396</v>
      </c>
      <c r="N309" s="1" t="s">
        <v>10395</v>
      </c>
    </row>
    <row r="310" spans="1:14" x14ac:dyDescent="0.35">
      <c r="A310" s="1" t="s">
        <v>0</v>
      </c>
      <c r="B310" s="3" t="s">
        <v>3183</v>
      </c>
      <c r="C310" s="1" t="s">
        <v>3241</v>
      </c>
      <c r="D310" s="1" t="s">
        <v>10394</v>
      </c>
      <c r="E310" s="1" t="str">
        <f>"2320"</f>
        <v>2320</v>
      </c>
      <c r="F310" s="1" t="s">
        <v>321</v>
      </c>
      <c r="G310" s="1" t="s">
        <v>322</v>
      </c>
      <c r="H310" s="1" t="s">
        <v>15</v>
      </c>
      <c r="I310" s="3" t="str">
        <f>"1"</f>
        <v>1</v>
      </c>
      <c r="J310" s="3" t="str">
        <f>"91000"</f>
        <v>91000</v>
      </c>
      <c r="K310" s="2">
        <v>45913</v>
      </c>
      <c r="L310" s="2">
        <v>45915</v>
      </c>
      <c r="M310" s="1" t="s">
        <v>10393</v>
      </c>
      <c r="N310" s="1" t="s">
        <v>10392</v>
      </c>
    </row>
    <row r="311" spans="1:14" x14ac:dyDescent="0.35">
      <c r="A311" s="1" t="s">
        <v>0</v>
      </c>
      <c r="B311" s="3" t="s">
        <v>2494</v>
      </c>
      <c r="C311" s="1" t="s">
        <v>2521</v>
      </c>
      <c r="D311" s="1" t="s">
        <v>10391</v>
      </c>
      <c r="E311" s="1" t="str">
        <f>"2320"</f>
        <v>2320</v>
      </c>
      <c r="F311" s="1" t="s">
        <v>321</v>
      </c>
      <c r="G311" s="1" t="s">
        <v>322</v>
      </c>
      <c r="H311" s="1" t="s">
        <v>15</v>
      </c>
      <c r="I311" s="3" t="str">
        <f>"1"</f>
        <v>1</v>
      </c>
      <c r="J311" s="3">
        <v>21545.32</v>
      </c>
      <c r="K311" s="2">
        <v>45913</v>
      </c>
      <c r="L311" s="2">
        <v>45915</v>
      </c>
      <c r="M311" s="1" t="s">
        <v>10390</v>
      </c>
      <c r="N311" s="1" t="s">
        <v>10389</v>
      </c>
    </row>
    <row r="312" spans="1:14" x14ac:dyDescent="0.35">
      <c r="A312" s="1" t="s">
        <v>0</v>
      </c>
      <c r="B312" s="3" t="s">
        <v>1944</v>
      </c>
      <c r="C312" s="1" t="s">
        <v>8687</v>
      </c>
      <c r="D312" s="1" t="s">
        <v>10388</v>
      </c>
      <c r="E312" s="1" t="str">
        <f>"8415"</f>
        <v>8415</v>
      </c>
      <c r="F312" s="1" t="s">
        <v>1359</v>
      </c>
      <c r="G312" s="1" t="s">
        <v>1360</v>
      </c>
      <c r="H312" s="1" t="s">
        <v>15</v>
      </c>
      <c r="I312" s="3" t="str">
        <f>"6"</f>
        <v>6</v>
      </c>
      <c r="J312" s="3" t="str">
        <f>"320"</f>
        <v>320</v>
      </c>
      <c r="K312" s="2">
        <v>45913</v>
      </c>
      <c r="L312" s="2">
        <v>45915</v>
      </c>
      <c r="M312" s="1" t="s">
        <v>10385</v>
      </c>
      <c r="N312" s="1" t="s">
        <v>10382</v>
      </c>
    </row>
    <row r="313" spans="1:14" x14ac:dyDescent="0.35">
      <c r="A313" s="1" t="s">
        <v>0</v>
      </c>
      <c r="B313" s="3" t="s">
        <v>1944</v>
      </c>
      <c r="C313" s="1" t="s">
        <v>8687</v>
      </c>
      <c r="D313" s="1" t="s">
        <v>10387</v>
      </c>
      <c r="E313" s="1" t="str">
        <f>"8415"</f>
        <v>8415</v>
      </c>
      <c r="F313" s="1" t="s">
        <v>1359</v>
      </c>
      <c r="G313" s="1" t="s">
        <v>1360</v>
      </c>
      <c r="H313" s="1" t="s">
        <v>15</v>
      </c>
      <c r="I313" s="3" t="str">
        <f>"2"</f>
        <v>2</v>
      </c>
      <c r="J313" s="3" t="str">
        <f>"100"</f>
        <v>100</v>
      </c>
      <c r="K313" s="2">
        <v>45913</v>
      </c>
      <c r="L313" s="2">
        <v>45915</v>
      </c>
      <c r="M313" s="1" t="s">
        <v>10385</v>
      </c>
      <c r="N313" s="1" t="s">
        <v>10382</v>
      </c>
    </row>
    <row r="314" spans="1:14" x14ac:dyDescent="0.35">
      <c r="A314" s="1" t="s">
        <v>0</v>
      </c>
      <c r="B314" s="3" t="s">
        <v>1944</v>
      </c>
      <c r="C314" s="1" t="s">
        <v>8687</v>
      </c>
      <c r="D314" s="1" t="s">
        <v>10386</v>
      </c>
      <c r="E314" s="1" t="str">
        <f>"8415"</f>
        <v>8415</v>
      </c>
      <c r="F314" s="1" t="s">
        <v>1359</v>
      </c>
      <c r="G314" s="1" t="s">
        <v>1360</v>
      </c>
      <c r="H314" s="1" t="s">
        <v>15</v>
      </c>
      <c r="I314" s="3" t="str">
        <f>"3"</f>
        <v>3</v>
      </c>
      <c r="J314" s="3" t="str">
        <f>"100"</f>
        <v>100</v>
      </c>
      <c r="K314" s="2">
        <v>45913</v>
      </c>
      <c r="L314" s="2">
        <v>45915</v>
      </c>
      <c r="M314" s="1" t="s">
        <v>10385</v>
      </c>
      <c r="N314" s="1" t="s">
        <v>10382</v>
      </c>
    </row>
    <row r="315" spans="1:14" x14ac:dyDescent="0.35">
      <c r="A315" s="1" t="s">
        <v>0</v>
      </c>
      <c r="B315" s="3" t="s">
        <v>1944</v>
      </c>
      <c r="C315" s="1" t="s">
        <v>8687</v>
      </c>
      <c r="D315" s="1" t="s">
        <v>10384</v>
      </c>
      <c r="E315" s="1" t="str">
        <f>"8415"</f>
        <v>8415</v>
      </c>
      <c r="F315" s="1" t="s">
        <v>1359</v>
      </c>
      <c r="G315" s="1" t="s">
        <v>1360</v>
      </c>
      <c r="H315" s="1" t="s">
        <v>15</v>
      </c>
      <c r="I315" s="3" t="str">
        <f>"6"</f>
        <v>6</v>
      </c>
      <c r="J315" s="3">
        <v>51.4</v>
      </c>
      <c r="K315" s="2">
        <v>45913</v>
      </c>
      <c r="L315" s="2">
        <v>45915</v>
      </c>
      <c r="M315" s="1" t="s">
        <v>10383</v>
      </c>
      <c r="N315" s="1" t="s">
        <v>10382</v>
      </c>
    </row>
    <row r="316" spans="1:14" x14ac:dyDescent="0.35">
      <c r="A316" s="1" t="s">
        <v>0</v>
      </c>
      <c r="B316" s="3" t="s">
        <v>3183</v>
      </c>
      <c r="C316" s="1" t="s">
        <v>3357</v>
      </c>
      <c r="D316" s="1" t="s">
        <v>10381</v>
      </c>
      <c r="E316" s="1" t="str">
        <f>"2320"</f>
        <v>2320</v>
      </c>
      <c r="F316" s="1" t="s">
        <v>321</v>
      </c>
      <c r="G316" s="1" t="s">
        <v>322</v>
      </c>
      <c r="H316" s="1" t="s">
        <v>15</v>
      </c>
      <c r="I316" s="3" t="str">
        <f>"1"</f>
        <v>1</v>
      </c>
      <c r="J316" s="3" t="str">
        <f>"134093"</f>
        <v>134093</v>
      </c>
      <c r="K316" s="2">
        <v>45913</v>
      </c>
      <c r="L316" s="2">
        <v>45915</v>
      </c>
      <c r="M316" s="1" t="s">
        <v>10380</v>
      </c>
      <c r="N316" s="1" t="s">
        <v>10379</v>
      </c>
    </row>
    <row r="317" spans="1:14" x14ac:dyDescent="0.35">
      <c r="A317" s="1" t="s">
        <v>0</v>
      </c>
      <c r="B317" s="3" t="s">
        <v>3183</v>
      </c>
      <c r="C317" s="1" t="s">
        <v>3357</v>
      </c>
      <c r="D317" s="1" t="s">
        <v>10378</v>
      </c>
      <c r="E317" s="1" t="str">
        <f>"2320"</f>
        <v>2320</v>
      </c>
      <c r="F317" s="1" t="s">
        <v>321</v>
      </c>
      <c r="G317" s="1" t="s">
        <v>322</v>
      </c>
      <c r="H317" s="1" t="s">
        <v>15</v>
      </c>
      <c r="I317" s="3" t="str">
        <f>"1"</f>
        <v>1</v>
      </c>
      <c r="J317" s="3">
        <v>21545.32</v>
      </c>
      <c r="K317" s="2">
        <v>45913</v>
      </c>
      <c r="L317" s="2">
        <v>45915</v>
      </c>
      <c r="M317" s="1" t="s">
        <v>10377</v>
      </c>
      <c r="N317" s="1" t="s">
        <v>9953</v>
      </c>
    </row>
    <row r="318" spans="1:14" x14ac:dyDescent="0.35">
      <c r="A318" s="1" t="s">
        <v>0</v>
      </c>
      <c r="B318" s="3" t="s">
        <v>2248</v>
      </c>
      <c r="C318" s="1" t="s">
        <v>2375</v>
      </c>
      <c r="D318" s="1" t="s">
        <v>10376</v>
      </c>
      <c r="E318" s="1" t="str">
        <f>"1240"</f>
        <v>1240</v>
      </c>
      <c r="F318" s="1" t="s">
        <v>1461</v>
      </c>
      <c r="G318" s="1" t="s">
        <v>1462</v>
      </c>
      <c r="H318" s="1" t="s">
        <v>15</v>
      </c>
      <c r="I318" s="3" t="str">
        <f>"1"</f>
        <v>1</v>
      </c>
      <c r="J318" s="3">
        <v>602.34</v>
      </c>
      <c r="K318" s="2">
        <v>45913</v>
      </c>
      <c r="L318" s="2">
        <v>45915</v>
      </c>
      <c r="M318" s="1" t="s">
        <v>10372</v>
      </c>
      <c r="N318" s="1" t="s">
        <v>10193</v>
      </c>
    </row>
    <row r="319" spans="1:14" x14ac:dyDescent="0.35">
      <c r="A319" s="1" t="s">
        <v>0</v>
      </c>
      <c r="B319" s="3" t="s">
        <v>2248</v>
      </c>
      <c r="C319" s="1" t="s">
        <v>2375</v>
      </c>
      <c r="D319" s="1" t="s">
        <v>10375</v>
      </c>
      <c r="E319" s="1" t="str">
        <f>"1240"</f>
        <v>1240</v>
      </c>
      <c r="F319" s="1" t="s">
        <v>1461</v>
      </c>
      <c r="G319" s="1" t="s">
        <v>1462</v>
      </c>
      <c r="H319" s="1" t="s">
        <v>15</v>
      </c>
      <c r="I319" s="3" t="str">
        <f>"1"</f>
        <v>1</v>
      </c>
      <c r="J319" s="3">
        <v>602.34</v>
      </c>
      <c r="K319" s="2">
        <v>45913</v>
      </c>
      <c r="L319" s="2">
        <v>45915</v>
      </c>
      <c r="M319" s="1" t="s">
        <v>10372</v>
      </c>
      <c r="N319" s="1" t="s">
        <v>10193</v>
      </c>
    </row>
    <row r="320" spans="1:14" x14ac:dyDescent="0.35">
      <c r="A320" s="1" t="s">
        <v>0</v>
      </c>
      <c r="B320" s="3" t="s">
        <v>2248</v>
      </c>
      <c r="C320" s="1" t="s">
        <v>2375</v>
      </c>
      <c r="D320" s="1" t="s">
        <v>10374</v>
      </c>
      <c r="E320" s="1" t="str">
        <f>"1240"</f>
        <v>1240</v>
      </c>
      <c r="F320" s="1" t="s">
        <v>1461</v>
      </c>
      <c r="G320" s="1" t="s">
        <v>1462</v>
      </c>
      <c r="H320" s="1" t="s">
        <v>15</v>
      </c>
      <c r="I320" s="3" t="str">
        <f>"1"</f>
        <v>1</v>
      </c>
      <c r="J320" s="3">
        <v>602.34</v>
      </c>
      <c r="K320" s="2">
        <v>45913</v>
      </c>
      <c r="L320" s="2">
        <v>45915</v>
      </c>
      <c r="M320" s="1" t="s">
        <v>10372</v>
      </c>
      <c r="N320" s="1" t="s">
        <v>10193</v>
      </c>
    </row>
    <row r="321" spans="1:14" x14ac:dyDescent="0.35">
      <c r="A321" s="1" t="s">
        <v>0</v>
      </c>
      <c r="B321" s="3" t="s">
        <v>2248</v>
      </c>
      <c r="C321" s="1" t="s">
        <v>2375</v>
      </c>
      <c r="D321" s="1" t="s">
        <v>10373</v>
      </c>
      <c r="E321" s="1" t="str">
        <f>"1240"</f>
        <v>1240</v>
      </c>
      <c r="F321" s="1" t="s">
        <v>1461</v>
      </c>
      <c r="G321" s="1" t="s">
        <v>1462</v>
      </c>
      <c r="H321" s="1" t="s">
        <v>15</v>
      </c>
      <c r="I321" s="3" t="str">
        <f>"1"</f>
        <v>1</v>
      </c>
      <c r="J321" s="3">
        <v>602.34</v>
      </c>
      <c r="K321" s="2">
        <v>45913</v>
      </c>
      <c r="L321" s="2">
        <v>45915</v>
      </c>
      <c r="M321" s="1" t="s">
        <v>10372</v>
      </c>
      <c r="N321" s="1" t="s">
        <v>10193</v>
      </c>
    </row>
    <row r="322" spans="1:14" x14ac:dyDescent="0.35">
      <c r="A322" s="1" t="s">
        <v>0</v>
      </c>
      <c r="B322" s="3" t="s">
        <v>1699</v>
      </c>
      <c r="C322" s="1" t="s">
        <v>8722</v>
      </c>
      <c r="D322" s="1" t="s">
        <v>10371</v>
      </c>
      <c r="E322" s="1" t="str">
        <f>"8465"</f>
        <v>8465</v>
      </c>
      <c r="F322" s="1" t="str">
        <f>"015247635"</f>
        <v>015247635</v>
      </c>
      <c r="G322" s="1" t="s">
        <v>1618</v>
      </c>
      <c r="H322" s="1" t="s">
        <v>15</v>
      </c>
      <c r="I322" s="3" t="str">
        <f>"1"</f>
        <v>1</v>
      </c>
      <c r="J322" s="3">
        <v>125.86</v>
      </c>
      <c r="K322" s="2">
        <v>45912</v>
      </c>
      <c r="L322" s="2">
        <v>45915</v>
      </c>
      <c r="M322" s="1" t="s">
        <v>10370</v>
      </c>
      <c r="N322" s="1" t="s">
        <v>10366</v>
      </c>
    </row>
    <row r="323" spans="1:14" x14ac:dyDescent="0.35">
      <c r="A323" s="1" t="s">
        <v>0</v>
      </c>
      <c r="B323" s="3" t="s">
        <v>1699</v>
      </c>
      <c r="C323" s="1" t="s">
        <v>8722</v>
      </c>
      <c r="D323" s="1" t="s">
        <v>10369</v>
      </c>
      <c r="E323" s="1" t="str">
        <f>"8465"</f>
        <v>8465</v>
      </c>
      <c r="F323" s="1" t="str">
        <f>"015801313"</f>
        <v>015801313</v>
      </c>
      <c r="G323" s="1" t="s">
        <v>10368</v>
      </c>
      <c r="H323" s="1" t="s">
        <v>15</v>
      </c>
      <c r="I323" s="3" t="str">
        <f>"3"</f>
        <v>3</v>
      </c>
      <c r="J323" s="3">
        <v>3.39</v>
      </c>
      <c r="K323" s="2">
        <v>45912</v>
      </c>
      <c r="L323" s="2">
        <v>45915</v>
      </c>
      <c r="M323" s="1" t="s">
        <v>10367</v>
      </c>
      <c r="N323" s="1" t="s">
        <v>10366</v>
      </c>
    </row>
    <row r="324" spans="1:14" x14ac:dyDescent="0.35">
      <c r="A324" s="1" t="s">
        <v>0</v>
      </c>
      <c r="B324" s="3" t="s">
        <v>2494</v>
      </c>
      <c r="C324" s="1" t="s">
        <v>10364</v>
      </c>
      <c r="D324" s="1" t="s">
        <v>10365</v>
      </c>
      <c r="E324" s="1" t="str">
        <f>"5140"</f>
        <v>5140</v>
      </c>
      <c r="F324" s="1" t="s">
        <v>161</v>
      </c>
      <c r="G324" s="1" t="s">
        <v>162</v>
      </c>
      <c r="H324" s="1" t="s">
        <v>15</v>
      </c>
      <c r="I324" s="3" t="str">
        <f>"2"</f>
        <v>2</v>
      </c>
      <c r="J324" s="3" t="str">
        <f>"40"</f>
        <v>40</v>
      </c>
      <c r="K324" s="2">
        <v>45910</v>
      </c>
      <c r="L324" s="2">
        <v>45911</v>
      </c>
      <c r="M324" s="1" t="s">
        <v>10362</v>
      </c>
      <c r="N324" s="1" t="s">
        <v>10361</v>
      </c>
    </row>
    <row r="325" spans="1:14" x14ac:dyDescent="0.35">
      <c r="A325" s="1" t="s">
        <v>0</v>
      </c>
      <c r="B325" s="3" t="s">
        <v>2494</v>
      </c>
      <c r="C325" s="1" t="s">
        <v>10364</v>
      </c>
      <c r="D325" s="1" t="s">
        <v>10363</v>
      </c>
      <c r="E325" s="1" t="str">
        <f>"5140"</f>
        <v>5140</v>
      </c>
      <c r="F325" s="1" t="s">
        <v>161</v>
      </c>
      <c r="G325" s="1" t="s">
        <v>162</v>
      </c>
      <c r="H325" s="1" t="s">
        <v>15</v>
      </c>
      <c r="I325" s="3" t="str">
        <f>"2"</f>
        <v>2</v>
      </c>
      <c r="J325" s="3" t="str">
        <f>"40"</f>
        <v>40</v>
      </c>
      <c r="K325" s="2">
        <v>45910</v>
      </c>
      <c r="L325" s="2">
        <v>45911</v>
      </c>
      <c r="M325" s="1" t="s">
        <v>10362</v>
      </c>
      <c r="N325" s="1" t="s">
        <v>10361</v>
      </c>
    </row>
    <row r="326" spans="1:14" x14ac:dyDescent="0.35">
      <c r="A326" s="1" t="s">
        <v>0</v>
      </c>
      <c r="B326" s="3" t="s">
        <v>3105</v>
      </c>
      <c r="C326" s="1" t="s">
        <v>3129</v>
      </c>
      <c r="D326" s="1" t="s">
        <v>10360</v>
      </c>
      <c r="E326" s="1" t="str">
        <f>"2340"</f>
        <v>2340</v>
      </c>
      <c r="F326" s="1" t="s">
        <v>278</v>
      </c>
      <c r="G326" s="1" t="s">
        <v>279</v>
      </c>
      <c r="H326" s="1" t="s">
        <v>15</v>
      </c>
      <c r="I326" s="3" t="str">
        <f>"1"</f>
        <v>1</v>
      </c>
      <c r="J326" s="3">
        <v>13213.65</v>
      </c>
      <c r="K326" s="2">
        <v>45901</v>
      </c>
      <c r="L326" s="2">
        <v>45911</v>
      </c>
      <c r="M326" s="1" t="s">
        <v>10359</v>
      </c>
      <c r="N326" s="1" t="s">
        <v>10023</v>
      </c>
    </row>
    <row r="327" spans="1:14" x14ac:dyDescent="0.35">
      <c r="A327" s="1" t="s">
        <v>0</v>
      </c>
      <c r="B327" s="3" t="s">
        <v>3885</v>
      </c>
      <c r="C327" s="1" t="s">
        <v>3891</v>
      </c>
      <c r="D327" s="1" t="s">
        <v>10358</v>
      </c>
      <c r="E327" s="1" t="str">
        <f>"1240"</f>
        <v>1240</v>
      </c>
      <c r="F327" s="1" t="str">
        <f>"015871372"</f>
        <v>015871372</v>
      </c>
      <c r="G327" s="1" t="s">
        <v>8438</v>
      </c>
      <c r="H327" s="1" t="s">
        <v>15</v>
      </c>
      <c r="I327" s="3" t="str">
        <f>"12"</f>
        <v>12</v>
      </c>
      <c r="J327" s="3">
        <v>602.34</v>
      </c>
      <c r="K327" s="2">
        <v>45909</v>
      </c>
      <c r="L327" s="2">
        <v>45910</v>
      </c>
      <c r="M327" s="1" t="s">
        <v>10357</v>
      </c>
      <c r="N327" s="1" t="s">
        <v>10356</v>
      </c>
    </row>
    <row r="328" spans="1:14" x14ac:dyDescent="0.35">
      <c r="A328" s="1" t="s">
        <v>0</v>
      </c>
      <c r="B328" s="3" t="s">
        <v>3885</v>
      </c>
      <c r="C328" s="1" t="s">
        <v>4074</v>
      </c>
      <c r="D328" s="1" t="s">
        <v>10355</v>
      </c>
      <c r="E328" s="1" t="str">
        <f>"3930"</f>
        <v>3930</v>
      </c>
      <c r="F328" s="1" t="s">
        <v>150</v>
      </c>
      <c r="G328" s="1" t="s">
        <v>151</v>
      </c>
      <c r="H328" s="1" t="s">
        <v>15</v>
      </c>
      <c r="I328" s="3" t="str">
        <f>"1"</f>
        <v>1</v>
      </c>
      <c r="J328" s="3" t="str">
        <f>"24300"</f>
        <v>24300</v>
      </c>
      <c r="K328" s="2">
        <v>45909</v>
      </c>
      <c r="L328" s="2">
        <v>45910</v>
      </c>
      <c r="M328" s="1" t="s">
        <v>4076</v>
      </c>
      <c r="N328" s="1" t="s">
        <v>10188</v>
      </c>
    </row>
    <row r="329" spans="1:14" x14ac:dyDescent="0.35">
      <c r="A329" s="1" t="s">
        <v>0</v>
      </c>
      <c r="B329" s="3" t="s">
        <v>2494</v>
      </c>
      <c r="C329" s="1" t="s">
        <v>5795</v>
      </c>
      <c r="D329" s="1" t="s">
        <v>10354</v>
      </c>
      <c r="E329" s="1" t="str">
        <f>"1240"</f>
        <v>1240</v>
      </c>
      <c r="F329" s="1" t="str">
        <f>"015871372"</f>
        <v>015871372</v>
      </c>
      <c r="G329" s="1" t="s">
        <v>8438</v>
      </c>
      <c r="H329" s="1" t="s">
        <v>15</v>
      </c>
      <c r="I329" s="3" t="str">
        <f>"15"</f>
        <v>15</v>
      </c>
      <c r="J329" s="3">
        <v>602.34</v>
      </c>
      <c r="K329" s="2">
        <v>45909</v>
      </c>
      <c r="L329" s="2">
        <v>45909</v>
      </c>
      <c r="M329" s="1" t="s">
        <v>10353</v>
      </c>
      <c r="N329" s="1" t="s">
        <v>10352</v>
      </c>
    </row>
    <row r="330" spans="1:14" x14ac:dyDescent="0.35">
      <c r="A330" s="1" t="s">
        <v>0</v>
      </c>
      <c r="B330" s="3" t="s">
        <v>3105</v>
      </c>
      <c r="C330" s="1" t="s">
        <v>3154</v>
      </c>
      <c r="D330" s="1" t="s">
        <v>10351</v>
      </c>
      <c r="E330" s="1" t="str">
        <f>"1240"</f>
        <v>1240</v>
      </c>
      <c r="F330" s="1" t="str">
        <f>"015871372"</f>
        <v>015871372</v>
      </c>
      <c r="G330" s="1" t="s">
        <v>8438</v>
      </c>
      <c r="H330" s="1" t="s">
        <v>15</v>
      </c>
      <c r="I330" s="3" t="str">
        <f>"22"</f>
        <v>22</v>
      </c>
      <c r="J330" s="3">
        <v>602.34</v>
      </c>
      <c r="K330" s="2">
        <v>45908</v>
      </c>
      <c r="L330" s="2">
        <v>45909</v>
      </c>
      <c r="M330" s="1" t="s">
        <v>10350</v>
      </c>
      <c r="N330" s="1" t="s">
        <v>10349</v>
      </c>
    </row>
    <row r="331" spans="1:14" x14ac:dyDescent="0.35">
      <c r="A331" s="1" t="s">
        <v>0</v>
      </c>
      <c r="B331" s="3" t="s">
        <v>2720</v>
      </c>
      <c r="C331" s="1" t="s">
        <v>2765</v>
      </c>
      <c r="D331" s="1" t="s">
        <v>10348</v>
      </c>
      <c r="E331" s="1" t="str">
        <f>"2320"</f>
        <v>2320</v>
      </c>
      <c r="F331" s="1" t="str">
        <f>"010496070"</f>
        <v>010496070</v>
      </c>
      <c r="G331" s="1" t="s">
        <v>5457</v>
      </c>
      <c r="H331" s="1" t="s">
        <v>15</v>
      </c>
      <c r="I331" s="3" t="str">
        <f>"1"</f>
        <v>1</v>
      </c>
      <c r="J331" s="3" t="str">
        <f>"30858"</f>
        <v>30858</v>
      </c>
      <c r="K331" s="2">
        <v>45903</v>
      </c>
      <c r="L331" s="2">
        <v>45909</v>
      </c>
      <c r="M331" s="1" t="s">
        <v>10347</v>
      </c>
      <c r="N331" s="1" t="s">
        <v>10344</v>
      </c>
    </row>
    <row r="332" spans="1:14" x14ac:dyDescent="0.35">
      <c r="A332" s="1" t="s">
        <v>0</v>
      </c>
      <c r="B332" s="3" t="s">
        <v>2720</v>
      </c>
      <c r="C332" s="1" t="s">
        <v>2765</v>
      </c>
      <c r="D332" s="1" t="s">
        <v>10346</v>
      </c>
      <c r="E332" s="1" t="str">
        <f>"3805"</f>
        <v>3805</v>
      </c>
      <c r="F332" s="1" t="s">
        <v>2913</v>
      </c>
      <c r="G332" s="1" t="s">
        <v>2914</v>
      </c>
      <c r="H332" s="1" t="s">
        <v>15</v>
      </c>
      <c r="I332" s="3" t="str">
        <f>"1"</f>
        <v>1</v>
      </c>
      <c r="J332" s="3" t="str">
        <f>"30000"</f>
        <v>30000</v>
      </c>
      <c r="K332" s="2">
        <v>45896</v>
      </c>
      <c r="L332" s="2">
        <v>45909</v>
      </c>
      <c r="M332" s="1" t="s">
        <v>10345</v>
      </c>
      <c r="N332" s="1" t="s">
        <v>10344</v>
      </c>
    </row>
    <row r="333" spans="1:14" x14ac:dyDescent="0.35">
      <c r="A333" s="1" t="s">
        <v>0</v>
      </c>
      <c r="B333" s="3" t="s">
        <v>3105</v>
      </c>
      <c r="C333" s="1" t="s">
        <v>3141</v>
      </c>
      <c r="D333" s="1" t="s">
        <v>10343</v>
      </c>
      <c r="E333" s="1" t="str">
        <f>"2310"</f>
        <v>2310</v>
      </c>
      <c r="F333" s="1" t="str">
        <f>"016544105"</f>
        <v>016544105</v>
      </c>
      <c r="G333" s="1" t="s">
        <v>3156</v>
      </c>
      <c r="H333" s="1" t="s">
        <v>15</v>
      </c>
      <c r="I333" s="3" t="str">
        <f>"1"</f>
        <v>1</v>
      </c>
      <c r="J333" s="3">
        <v>31905.14</v>
      </c>
      <c r="K333" s="2">
        <v>45907</v>
      </c>
      <c r="L333" s="2">
        <v>45908</v>
      </c>
      <c r="M333" s="1" t="s">
        <v>10342</v>
      </c>
      <c r="N333" s="1" t="s">
        <v>9928</v>
      </c>
    </row>
    <row r="334" spans="1:14" x14ac:dyDescent="0.35">
      <c r="A334" s="1" t="s">
        <v>0</v>
      </c>
      <c r="B334" s="3" t="s">
        <v>3183</v>
      </c>
      <c r="C334" s="1" t="s">
        <v>3376</v>
      </c>
      <c r="D334" s="1" t="s">
        <v>10341</v>
      </c>
      <c r="E334" s="1" t="str">
        <f>"6115"</f>
        <v>6115</v>
      </c>
      <c r="F334" s="1" t="str">
        <f>"013833124"</f>
        <v>013833124</v>
      </c>
      <c r="G334" s="1" t="s">
        <v>10340</v>
      </c>
      <c r="H334" s="1" t="s">
        <v>15</v>
      </c>
      <c r="I334" s="3" t="str">
        <f>"1"</f>
        <v>1</v>
      </c>
      <c r="J334" s="3" t="str">
        <f>"9850"</f>
        <v>9850</v>
      </c>
      <c r="K334" s="2">
        <v>45906</v>
      </c>
      <c r="L334" s="2">
        <v>45908</v>
      </c>
      <c r="M334" s="1" t="s">
        <v>10339</v>
      </c>
      <c r="N334" s="1" t="s">
        <v>10338</v>
      </c>
    </row>
    <row r="335" spans="1:14" x14ac:dyDescent="0.35">
      <c r="A335" s="1" t="s">
        <v>0</v>
      </c>
      <c r="B335" s="3" t="s">
        <v>3885</v>
      </c>
      <c r="C335" s="1" t="s">
        <v>3966</v>
      </c>
      <c r="D335" s="1" t="s">
        <v>10337</v>
      </c>
      <c r="E335" s="1" t="str">
        <f>"2320"</f>
        <v>2320</v>
      </c>
      <c r="F335" s="1" t="str">
        <f>"014436878"</f>
        <v>014436878</v>
      </c>
      <c r="G335" s="1" t="s">
        <v>1799</v>
      </c>
      <c r="H335" s="1" t="s">
        <v>15</v>
      </c>
      <c r="I335" s="3" t="str">
        <f>"1"</f>
        <v>1</v>
      </c>
      <c r="J335" s="3" t="str">
        <f>"24447"</f>
        <v>24447</v>
      </c>
      <c r="K335" s="2">
        <v>45906</v>
      </c>
      <c r="L335" s="2">
        <v>45908</v>
      </c>
      <c r="M335" s="1" t="s">
        <v>10336</v>
      </c>
    </row>
    <row r="336" spans="1:14" x14ac:dyDescent="0.35">
      <c r="A336" s="1" t="s">
        <v>0</v>
      </c>
      <c r="B336" s="3" t="s">
        <v>3885</v>
      </c>
      <c r="C336" s="1" t="s">
        <v>3966</v>
      </c>
      <c r="D336" s="1" t="s">
        <v>10335</v>
      </c>
      <c r="E336" s="1" t="str">
        <f>"2320"</f>
        <v>2320</v>
      </c>
      <c r="F336" s="1" t="str">
        <f>"012157631"</f>
        <v>012157631</v>
      </c>
      <c r="G336" s="1" t="s">
        <v>117</v>
      </c>
      <c r="H336" s="1" t="s">
        <v>15</v>
      </c>
      <c r="I336" s="3" t="str">
        <f>"1"</f>
        <v>1</v>
      </c>
      <c r="J336" s="3" t="str">
        <f>"33082"</f>
        <v>33082</v>
      </c>
      <c r="K336" s="2">
        <v>45906</v>
      </c>
      <c r="L336" s="2">
        <v>45908</v>
      </c>
      <c r="M336" s="1" t="s">
        <v>10334</v>
      </c>
    </row>
    <row r="337" spans="1:14" x14ac:dyDescent="0.35">
      <c r="A337" s="1" t="s">
        <v>0</v>
      </c>
      <c r="B337" s="3" t="s">
        <v>3885</v>
      </c>
      <c r="C337" s="1" t="s">
        <v>3966</v>
      </c>
      <c r="D337" s="1" t="s">
        <v>10333</v>
      </c>
      <c r="E337" s="1" t="str">
        <f>"2320"</f>
        <v>2320</v>
      </c>
      <c r="F337" s="1" t="s">
        <v>274</v>
      </c>
      <c r="G337" s="1" t="s">
        <v>275</v>
      </c>
      <c r="H337" s="1" t="s">
        <v>15</v>
      </c>
      <c r="I337" s="3" t="str">
        <f>"1"</f>
        <v>1</v>
      </c>
      <c r="J337" s="3" t="str">
        <f>"40000"</f>
        <v>40000</v>
      </c>
      <c r="K337" s="2">
        <v>45905</v>
      </c>
      <c r="L337" s="2">
        <v>45908</v>
      </c>
      <c r="M337" s="1" t="s">
        <v>10332</v>
      </c>
    </row>
    <row r="338" spans="1:14" x14ac:dyDescent="0.35">
      <c r="A338" s="1" t="s">
        <v>0</v>
      </c>
      <c r="B338" s="3" t="s">
        <v>3885</v>
      </c>
      <c r="C338" s="1" t="s">
        <v>3966</v>
      </c>
      <c r="D338" s="1" t="s">
        <v>10331</v>
      </c>
      <c r="E338" s="1" t="str">
        <f>"2320"</f>
        <v>2320</v>
      </c>
      <c r="F338" s="1" t="str">
        <f>"005401428"</f>
        <v>005401428</v>
      </c>
      <c r="G338" s="1" t="s">
        <v>373</v>
      </c>
      <c r="H338" s="1" t="s">
        <v>15</v>
      </c>
      <c r="I338" s="3" t="str">
        <f>"1"</f>
        <v>1</v>
      </c>
      <c r="J338" s="3" t="str">
        <f>"13334"</f>
        <v>13334</v>
      </c>
      <c r="K338" s="2">
        <v>45905</v>
      </c>
      <c r="L338" s="2">
        <v>45908</v>
      </c>
      <c r="M338" s="1" t="s">
        <v>10330</v>
      </c>
    </row>
    <row r="339" spans="1:14" x14ac:dyDescent="0.35">
      <c r="A339" s="1" t="s">
        <v>0</v>
      </c>
      <c r="B339" s="3" t="s">
        <v>3885</v>
      </c>
      <c r="C339" s="1" t="s">
        <v>3966</v>
      </c>
      <c r="D339" s="1" t="s">
        <v>10329</v>
      </c>
      <c r="E339" s="1" t="str">
        <f>"2320"</f>
        <v>2320</v>
      </c>
      <c r="F339" s="1" t="s">
        <v>321</v>
      </c>
      <c r="G339" s="1" t="s">
        <v>322</v>
      </c>
      <c r="H339" s="1" t="s">
        <v>15</v>
      </c>
      <c r="I339" s="3" t="str">
        <f>"2"</f>
        <v>2</v>
      </c>
      <c r="J339" s="3" t="str">
        <f>"15900"</f>
        <v>15900</v>
      </c>
      <c r="K339" s="2">
        <v>45905</v>
      </c>
      <c r="L339" s="2">
        <v>45908</v>
      </c>
      <c r="M339" s="1" t="s">
        <v>10328</v>
      </c>
    </row>
    <row r="340" spans="1:14" x14ac:dyDescent="0.35">
      <c r="A340" s="1" t="s">
        <v>0</v>
      </c>
      <c r="B340" s="3" t="s">
        <v>4253</v>
      </c>
      <c r="C340" s="1" t="s">
        <v>4276</v>
      </c>
      <c r="D340" s="1" t="s">
        <v>10327</v>
      </c>
      <c r="E340" s="1" t="str">
        <f>"1240"</f>
        <v>1240</v>
      </c>
      <c r="F340" s="1" t="s">
        <v>1461</v>
      </c>
      <c r="G340" s="1" t="s">
        <v>1462</v>
      </c>
      <c r="H340" s="1" t="s">
        <v>15</v>
      </c>
      <c r="I340" s="3" t="str">
        <f>"3"</f>
        <v>3</v>
      </c>
      <c r="J340" s="3" t="str">
        <f>"5605"</f>
        <v>5605</v>
      </c>
      <c r="K340" s="2">
        <v>45904</v>
      </c>
      <c r="L340" s="2">
        <v>45905</v>
      </c>
      <c r="M340" s="1" t="s">
        <v>10326</v>
      </c>
      <c r="N340" s="1" t="s">
        <v>10325</v>
      </c>
    </row>
    <row r="341" spans="1:14" x14ac:dyDescent="0.35">
      <c r="A341" s="1" t="s">
        <v>0</v>
      </c>
      <c r="B341" s="3" t="s">
        <v>3105</v>
      </c>
      <c r="C341" s="1" t="s">
        <v>3141</v>
      </c>
      <c r="D341" s="1" t="s">
        <v>10324</v>
      </c>
      <c r="E341" s="1" t="str">
        <f>"2320"</f>
        <v>2320</v>
      </c>
      <c r="F341" s="1" t="str">
        <f>"015402017"</f>
        <v>015402017</v>
      </c>
      <c r="G341" s="1" t="s">
        <v>604</v>
      </c>
      <c r="H341" s="1" t="s">
        <v>15</v>
      </c>
      <c r="I341" s="3" t="str">
        <f>"1"</f>
        <v>1</v>
      </c>
      <c r="J341" s="3" t="str">
        <f>"204469"</f>
        <v>204469</v>
      </c>
      <c r="K341" s="2">
        <v>45896</v>
      </c>
      <c r="L341" s="2">
        <v>45905</v>
      </c>
      <c r="M341" s="1" t="s">
        <v>10323</v>
      </c>
      <c r="N341" s="1" t="s">
        <v>10023</v>
      </c>
    </row>
    <row r="342" spans="1:14" x14ac:dyDescent="0.35">
      <c r="A342" s="1" t="s">
        <v>0</v>
      </c>
      <c r="B342" s="3" t="s">
        <v>2494</v>
      </c>
      <c r="C342" s="1" t="s">
        <v>2570</v>
      </c>
      <c r="D342" s="1" t="s">
        <v>10322</v>
      </c>
      <c r="E342" s="1" t="str">
        <f>"5855"</f>
        <v>5855</v>
      </c>
      <c r="F342" s="1" t="str">
        <f>"015847217"</f>
        <v>015847217</v>
      </c>
      <c r="G342" s="1" t="s">
        <v>1942</v>
      </c>
      <c r="H342" s="1" t="s">
        <v>15</v>
      </c>
      <c r="I342" s="3" t="str">
        <f>"10"</f>
        <v>10</v>
      </c>
      <c r="J342" s="3" t="str">
        <f>"35674"</f>
        <v>35674</v>
      </c>
      <c r="K342" s="2">
        <v>45904</v>
      </c>
      <c r="L342" s="2">
        <v>45904</v>
      </c>
      <c r="M342" s="1" t="s">
        <v>10321</v>
      </c>
      <c r="N342" s="1" t="s">
        <v>10279</v>
      </c>
    </row>
    <row r="343" spans="1:14" x14ac:dyDescent="0.35">
      <c r="A343" s="1" t="s">
        <v>0</v>
      </c>
      <c r="B343" s="3" t="s">
        <v>2000</v>
      </c>
      <c r="C343" s="1" t="s">
        <v>10308</v>
      </c>
      <c r="D343" s="1" t="s">
        <v>10320</v>
      </c>
      <c r="E343" s="1" t="str">
        <f>"1005"</f>
        <v>1005</v>
      </c>
      <c r="F343" s="1" t="str">
        <f>"014411619"</f>
        <v>014411619</v>
      </c>
      <c r="G343" s="1" t="s">
        <v>10319</v>
      </c>
      <c r="H343" s="1" t="s">
        <v>15</v>
      </c>
      <c r="I343" s="3" t="str">
        <f>"1"</f>
        <v>1</v>
      </c>
      <c r="J343" s="3">
        <v>92.59</v>
      </c>
      <c r="K343" s="2">
        <v>45904</v>
      </c>
      <c r="L343" s="2">
        <v>45904</v>
      </c>
      <c r="M343" s="1" t="s">
        <v>10318</v>
      </c>
      <c r="N343" s="1" t="s">
        <v>10305</v>
      </c>
    </row>
    <row r="344" spans="1:14" x14ac:dyDescent="0.35">
      <c r="A344" s="1" t="s">
        <v>0</v>
      </c>
      <c r="B344" s="3" t="s">
        <v>2000</v>
      </c>
      <c r="C344" s="1" t="s">
        <v>10308</v>
      </c>
      <c r="D344" s="1" t="s">
        <v>10317</v>
      </c>
      <c r="E344" s="1" t="str">
        <f>"1005"</f>
        <v>1005</v>
      </c>
      <c r="F344" s="1" t="str">
        <f>"015051035"</f>
        <v>015051035</v>
      </c>
      <c r="G344" s="1" t="s">
        <v>10316</v>
      </c>
      <c r="H344" s="1" t="s">
        <v>15</v>
      </c>
      <c r="I344" s="3" t="str">
        <f>"4"</f>
        <v>4</v>
      </c>
      <c r="J344" s="3">
        <v>66.900000000000006</v>
      </c>
      <c r="K344" s="2">
        <v>45904</v>
      </c>
      <c r="L344" s="2">
        <v>45904</v>
      </c>
      <c r="M344" s="1" t="s">
        <v>10315</v>
      </c>
      <c r="N344" s="1" t="s">
        <v>10305</v>
      </c>
    </row>
    <row r="345" spans="1:14" x14ac:dyDescent="0.35">
      <c r="A345" s="1" t="s">
        <v>0</v>
      </c>
      <c r="B345" s="3" t="s">
        <v>2000</v>
      </c>
      <c r="C345" s="1" t="s">
        <v>10308</v>
      </c>
      <c r="D345" s="1" t="s">
        <v>10314</v>
      </c>
      <c r="E345" s="1" t="str">
        <f>"5180"</f>
        <v>5180</v>
      </c>
      <c r="F345" s="1" t="str">
        <f>"015068287"</f>
        <v>015068287</v>
      </c>
      <c r="G345" s="1" t="s">
        <v>18</v>
      </c>
      <c r="H345" s="1" t="s">
        <v>19</v>
      </c>
      <c r="I345" s="3" t="str">
        <f>"1"</f>
        <v>1</v>
      </c>
      <c r="J345" s="3" t="str">
        <f>"1774"</f>
        <v>1774</v>
      </c>
      <c r="K345" s="2">
        <v>45904</v>
      </c>
      <c r="L345" s="2">
        <v>45904</v>
      </c>
      <c r="M345" s="1" t="s">
        <v>10313</v>
      </c>
      <c r="N345" s="1" t="s">
        <v>10305</v>
      </c>
    </row>
    <row r="346" spans="1:14" x14ac:dyDescent="0.35">
      <c r="A346" s="1" t="s">
        <v>0</v>
      </c>
      <c r="B346" s="3" t="s">
        <v>2000</v>
      </c>
      <c r="C346" s="1" t="s">
        <v>10308</v>
      </c>
      <c r="D346" s="1" t="s">
        <v>10312</v>
      </c>
      <c r="E346" s="1" t="str">
        <f>"5180"</f>
        <v>5180</v>
      </c>
      <c r="F346" s="1" t="str">
        <f>"015595981"</f>
        <v>015595981</v>
      </c>
      <c r="G346" s="1" t="s">
        <v>18</v>
      </c>
      <c r="H346" s="1" t="s">
        <v>19</v>
      </c>
      <c r="I346" s="3" t="str">
        <f>"1"</f>
        <v>1</v>
      </c>
      <c r="J346" s="3" t="str">
        <f>"1774"</f>
        <v>1774</v>
      </c>
      <c r="K346" s="2">
        <v>45904</v>
      </c>
      <c r="L346" s="2">
        <v>45904</v>
      </c>
      <c r="M346" s="1" t="s">
        <v>10311</v>
      </c>
      <c r="N346" s="1" t="s">
        <v>10305</v>
      </c>
    </row>
    <row r="347" spans="1:14" x14ac:dyDescent="0.35">
      <c r="A347" s="1" t="s">
        <v>0</v>
      </c>
      <c r="B347" s="3" t="s">
        <v>2000</v>
      </c>
      <c r="C347" s="1" t="s">
        <v>10308</v>
      </c>
      <c r="D347" s="1" t="s">
        <v>10310</v>
      </c>
      <c r="E347" s="1" t="str">
        <f>"6920"</f>
        <v>6920</v>
      </c>
      <c r="F347" s="1" t="s">
        <v>2759</v>
      </c>
      <c r="G347" s="1" t="s">
        <v>2760</v>
      </c>
      <c r="H347" s="1" t="s">
        <v>15</v>
      </c>
      <c r="I347" s="3" t="str">
        <f>"2"</f>
        <v>2</v>
      </c>
      <c r="J347" s="3">
        <v>183.59</v>
      </c>
      <c r="K347" s="2">
        <v>45904</v>
      </c>
      <c r="L347" s="2">
        <v>45904</v>
      </c>
      <c r="M347" s="1" t="s">
        <v>10309</v>
      </c>
      <c r="N347" s="1" t="s">
        <v>10305</v>
      </c>
    </row>
    <row r="348" spans="1:14" x14ac:dyDescent="0.35">
      <c r="A348" s="1" t="s">
        <v>0</v>
      </c>
      <c r="B348" s="3" t="s">
        <v>2000</v>
      </c>
      <c r="C348" s="1" t="s">
        <v>10308</v>
      </c>
      <c r="D348" s="1" t="s">
        <v>10307</v>
      </c>
      <c r="E348" s="1" t="str">
        <f>"6920"</f>
        <v>6920</v>
      </c>
      <c r="F348" s="1" t="s">
        <v>2759</v>
      </c>
      <c r="G348" s="1" t="s">
        <v>2760</v>
      </c>
      <c r="H348" s="1" t="s">
        <v>15</v>
      </c>
      <c r="I348" s="3" t="str">
        <f>"2"</f>
        <v>2</v>
      </c>
      <c r="J348" s="3" t="str">
        <f>"50"</f>
        <v>50</v>
      </c>
      <c r="K348" s="2">
        <v>45904</v>
      </c>
      <c r="L348" s="2">
        <v>45904</v>
      </c>
      <c r="M348" s="1" t="s">
        <v>10306</v>
      </c>
      <c r="N348" s="1" t="s">
        <v>10305</v>
      </c>
    </row>
    <row r="349" spans="1:14" x14ac:dyDescent="0.35">
      <c r="A349" s="1" t="s">
        <v>0</v>
      </c>
      <c r="B349" s="3" t="s">
        <v>2494</v>
      </c>
      <c r="C349" s="1" t="s">
        <v>2594</v>
      </c>
      <c r="D349" s="1" t="s">
        <v>10304</v>
      </c>
      <c r="E349" s="1" t="str">
        <f>"7910"</f>
        <v>7910</v>
      </c>
      <c r="F349" s="1" t="str">
        <f>"014200590"</f>
        <v>014200590</v>
      </c>
      <c r="G349" s="1" t="s">
        <v>2598</v>
      </c>
      <c r="H349" s="1" t="s">
        <v>15</v>
      </c>
      <c r="I349" s="3" t="str">
        <f>"2"</f>
        <v>2</v>
      </c>
      <c r="J349" s="3">
        <v>327.5</v>
      </c>
      <c r="K349" s="2">
        <v>45904</v>
      </c>
      <c r="L349" s="2">
        <v>45904</v>
      </c>
      <c r="M349" s="1" t="s">
        <v>10303</v>
      </c>
      <c r="N349" s="1" t="s">
        <v>10279</v>
      </c>
    </row>
    <row r="350" spans="1:14" x14ac:dyDescent="0.35">
      <c r="A350" s="1" t="s">
        <v>0</v>
      </c>
      <c r="B350" s="3" t="s">
        <v>2494</v>
      </c>
      <c r="C350" s="1" t="s">
        <v>2521</v>
      </c>
      <c r="D350" s="1" t="s">
        <v>10302</v>
      </c>
      <c r="E350" s="1" t="str">
        <f>"7025"</f>
        <v>7025</v>
      </c>
      <c r="F350" s="1" t="s">
        <v>2323</v>
      </c>
      <c r="G350" s="1" t="s">
        <v>2324</v>
      </c>
      <c r="H350" s="1" t="s">
        <v>15</v>
      </c>
      <c r="I350" s="3" t="str">
        <f>"1"</f>
        <v>1</v>
      </c>
      <c r="J350" s="3" t="str">
        <f>"500"</f>
        <v>500</v>
      </c>
      <c r="K350" s="2">
        <v>45903</v>
      </c>
      <c r="L350" s="2">
        <v>45904</v>
      </c>
      <c r="M350" s="1" t="s">
        <v>10301</v>
      </c>
      <c r="N350" s="1" t="s">
        <v>10300</v>
      </c>
    </row>
    <row r="351" spans="1:14" x14ac:dyDescent="0.35">
      <c r="A351" s="1" t="s">
        <v>0</v>
      </c>
      <c r="B351" s="3" t="s">
        <v>3105</v>
      </c>
      <c r="C351" s="1" t="s">
        <v>3123</v>
      </c>
      <c r="D351" s="1" t="s">
        <v>10299</v>
      </c>
      <c r="E351" s="1" t="str">
        <f>"7021"</f>
        <v>7021</v>
      </c>
      <c r="F351" s="1" t="str">
        <f>"015928324"</f>
        <v>015928324</v>
      </c>
      <c r="G351" s="1" t="s">
        <v>3827</v>
      </c>
      <c r="H351" s="1" t="s">
        <v>15</v>
      </c>
      <c r="I351" s="3" t="str">
        <f>"24"</f>
        <v>24</v>
      </c>
      <c r="J351" s="3" t="str">
        <f>"6068"</f>
        <v>6068</v>
      </c>
      <c r="K351" s="2">
        <v>45903</v>
      </c>
      <c r="L351" s="2">
        <v>45904</v>
      </c>
      <c r="M351" s="1" t="s">
        <v>10298</v>
      </c>
      <c r="N351" s="1" t="s">
        <v>10297</v>
      </c>
    </row>
    <row r="352" spans="1:14" x14ac:dyDescent="0.35">
      <c r="A352" s="1" t="s">
        <v>0</v>
      </c>
      <c r="B352" s="3" t="s">
        <v>2000</v>
      </c>
      <c r="C352" s="1" t="s">
        <v>2078</v>
      </c>
      <c r="D352" s="1" t="s">
        <v>10296</v>
      </c>
      <c r="E352" s="1" t="str">
        <f>"5855"</f>
        <v>5855</v>
      </c>
      <c r="F352" s="1" t="str">
        <f>"015847217"</f>
        <v>015847217</v>
      </c>
      <c r="G352" s="1" t="s">
        <v>1942</v>
      </c>
      <c r="H352" s="1" t="s">
        <v>15</v>
      </c>
      <c r="I352" s="3" t="str">
        <f>"6"</f>
        <v>6</v>
      </c>
      <c r="J352" s="3" t="str">
        <f>"35674"</f>
        <v>35674</v>
      </c>
      <c r="K352" s="2">
        <v>45903</v>
      </c>
      <c r="L352" s="2">
        <v>45904</v>
      </c>
      <c r="M352" s="1" t="s">
        <v>10295</v>
      </c>
      <c r="N352" s="1" t="s">
        <v>10294</v>
      </c>
    </row>
    <row r="353" spans="1:14" x14ac:dyDescent="0.35">
      <c r="A353" s="1" t="s">
        <v>0</v>
      </c>
      <c r="B353" s="3" t="s">
        <v>2494</v>
      </c>
      <c r="C353" s="1" t="s">
        <v>2594</v>
      </c>
      <c r="D353" s="1" t="s">
        <v>10293</v>
      </c>
      <c r="E353" s="1" t="str">
        <f>"7025"</f>
        <v>7025</v>
      </c>
      <c r="F353" s="1" t="s">
        <v>3286</v>
      </c>
      <c r="G353" s="1" t="s">
        <v>3287</v>
      </c>
      <c r="H353" s="1" t="s">
        <v>15</v>
      </c>
      <c r="I353" s="3" t="str">
        <f>"10"</f>
        <v>10</v>
      </c>
      <c r="J353" s="3" t="str">
        <f>"200"</f>
        <v>200</v>
      </c>
      <c r="K353" s="2">
        <v>45903</v>
      </c>
      <c r="L353" s="2">
        <v>45904</v>
      </c>
      <c r="M353" s="1" t="s">
        <v>10292</v>
      </c>
      <c r="N353" s="1" t="s">
        <v>10289</v>
      </c>
    </row>
    <row r="354" spans="1:14" x14ac:dyDescent="0.35">
      <c r="A354" s="1" t="s">
        <v>0</v>
      </c>
      <c r="B354" s="3" t="s">
        <v>2494</v>
      </c>
      <c r="C354" s="1" t="s">
        <v>2594</v>
      </c>
      <c r="D354" s="1" t="s">
        <v>10291</v>
      </c>
      <c r="E354" s="1" t="str">
        <f>"7025"</f>
        <v>7025</v>
      </c>
      <c r="F354" s="1" t="s">
        <v>3286</v>
      </c>
      <c r="G354" s="1" t="s">
        <v>3287</v>
      </c>
      <c r="H354" s="1" t="s">
        <v>15</v>
      </c>
      <c r="I354" s="3" t="str">
        <f>"10"</f>
        <v>10</v>
      </c>
      <c r="J354" s="3" t="str">
        <f>"200"</f>
        <v>200</v>
      </c>
      <c r="K354" s="2">
        <v>45903</v>
      </c>
      <c r="L354" s="2">
        <v>45904</v>
      </c>
      <c r="M354" s="1" t="s">
        <v>10290</v>
      </c>
      <c r="N354" s="1" t="s">
        <v>10289</v>
      </c>
    </row>
    <row r="355" spans="1:14" x14ac:dyDescent="0.35">
      <c r="A355" s="1" t="s">
        <v>0</v>
      </c>
      <c r="B355" s="3" t="s">
        <v>3105</v>
      </c>
      <c r="C355" s="1" t="s">
        <v>10288</v>
      </c>
      <c r="D355" s="1" t="s">
        <v>10287</v>
      </c>
      <c r="E355" s="1" t="str">
        <f>"5855"</f>
        <v>5855</v>
      </c>
      <c r="F355" s="1" t="str">
        <f>"015847217"</f>
        <v>015847217</v>
      </c>
      <c r="G355" s="1" t="s">
        <v>1942</v>
      </c>
      <c r="H355" s="1" t="s">
        <v>15</v>
      </c>
      <c r="I355" s="3" t="str">
        <f>"50"</f>
        <v>50</v>
      </c>
      <c r="J355" s="3" t="str">
        <f>"35674"</f>
        <v>35674</v>
      </c>
      <c r="K355" s="2">
        <v>45902</v>
      </c>
      <c r="L355" s="2">
        <v>45904</v>
      </c>
      <c r="M355" s="1" t="s">
        <v>10286</v>
      </c>
      <c r="N355" s="1" t="s">
        <v>10285</v>
      </c>
    </row>
    <row r="356" spans="1:14" x14ac:dyDescent="0.35">
      <c r="A356" s="1" t="s">
        <v>0</v>
      </c>
      <c r="B356" s="3" t="s">
        <v>2000</v>
      </c>
      <c r="C356" s="1" t="s">
        <v>2062</v>
      </c>
      <c r="D356" s="1" t="s">
        <v>10284</v>
      </c>
      <c r="E356" s="1" t="str">
        <f>"5855"</f>
        <v>5855</v>
      </c>
      <c r="F356" s="1" t="str">
        <f>"015847217"</f>
        <v>015847217</v>
      </c>
      <c r="G356" s="1" t="s">
        <v>1942</v>
      </c>
      <c r="H356" s="1" t="s">
        <v>15</v>
      </c>
      <c r="I356" s="3" t="str">
        <f>"20"</f>
        <v>20</v>
      </c>
      <c r="J356" s="3" t="str">
        <f>"35674"</f>
        <v>35674</v>
      </c>
      <c r="K356" s="2">
        <v>45903</v>
      </c>
      <c r="L356" s="2">
        <v>45903</v>
      </c>
      <c r="M356" s="1" t="s">
        <v>10283</v>
      </c>
      <c r="N356" s="1" t="s">
        <v>10282</v>
      </c>
    </row>
    <row r="357" spans="1:14" x14ac:dyDescent="0.35">
      <c r="A357" s="1" t="s">
        <v>0</v>
      </c>
      <c r="B357" s="3" t="s">
        <v>2494</v>
      </c>
      <c r="C357" s="1" t="s">
        <v>2570</v>
      </c>
      <c r="D357" s="1" t="s">
        <v>10281</v>
      </c>
      <c r="E357" s="1" t="str">
        <f>"5855"</f>
        <v>5855</v>
      </c>
      <c r="F357" s="1" t="str">
        <f>"015847217"</f>
        <v>015847217</v>
      </c>
      <c r="G357" s="1" t="s">
        <v>1942</v>
      </c>
      <c r="H357" s="1" t="s">
        <v>15</v>
      </c>
      <c r="I357" s="3" t="str">
        <f>"10"</f>
        <v>10</v>
      </c>
      <c r="J357" s="3" t="str">
        <f>"35674"</f>
        <v>35674</v>
      </c>
      <c r="K357" s="2">
        <v>45903</v>
      </c>
      <c r="L357" s="2">
        <v>45903</v>
      </c>
      <c r="M357" s="1" t="s">
        <v>10280</v>
      </c>
      <c r="N357" s="1" t="s">
        <v>10279</v>
      </c>
    </row>
    <row r="358" spans="1:14" x14ac:dyDescent="0.35">
      <c r="A358" s="1" t="s">
        <v>0</v>
      </c>
      <c r="B358" s="3" t="s">
        <v>2000</v>
      </c>
      <c r="C358" s="1" t="s">
        <v>2105</v>
      </c>
      <c r="D358" s="1" t="s">
        <v>10278</v>
      </c>
      <c r="E358" s="1" t="str">
        <f>"5855"</f>
        <v>5855</v>
      </c>
      <c r="F358" s="1" t="str">
        <f>"015847217"</f>
        <v>015847217</v>
      </c>
      <c r="G358" s="1" t="s">
        <v>1942</v>
      </c>
      <c r="H358" s="1" t="s">
        <v>15</v>
      </c>
      <c r="I358" s="3" t="str">
        <f>"8"</f>
        <v>8</v>
      </c>
      <c r="J358" s="3" t="str">
        <f>"35674"</f>
        <v>35674</v>
      </c>
      <c r="K358" s="2">
        <v>45903</v>
      </c>
      <c r="L358" s="2">
        <v>45903</v>
      </c>
      <c r="M358" s="1" t="s">
        <v>10277</v>
      </c>
      <c r="N358" s="1" t="s">
        <v>10276</v>
      </c>
    </row>
    <row r="359" spans="1:14" x14ac:dyDescent="0.35">
      <c r="A359" s="1" t="s">
        <v>0</v>
      </c>
      <c r="B359" s="3" t="s">
        <v>2494</v>
      </c>
      <c r="C359" s="1" t="s">
        <v>2521</v>
      </c>
      <c r="D359" s="1" t="s">
        <v>10275</v>
      </c>
      <c r="E359" s="1" t="str">
        <f>"3825"</f>
        <v>3825</v>
      </c>
      <c r="F359" s="1" t="str">
        <f>"015095922"</f>
        <v>015095922</v>
      </c>
      <c r="G359" s="1" t="s">
        <v>10274</v>
      </c>
      <c r="H359" s="1" t="s">
        <v>15</v>
      </c>
      <c r="I359" s="3" t="str">
        <f>"1"</f>
        <v>1</v>
      </c>
      <c r="J359" s="3">
        <v>15224.28</v>
      </c>
      <c r="K359" s="2">
        <v>45900</v>
      </c>
      <c r="L359" s="2">
        <v>45903</v>
      </c>
      <c r="M359" s="1" t="s">
        <v>10273</v>
      </c>
      <c r="N359" s="1" t="s">
        <v>10272</v>
      </c>
    </row>
    <row r="360" spans="1:14" x14ac:dyDescent="0.35">
      <c r="A360" s="1" t="s">
        <v>0</v>
      </c>
      <c r="B360" s="3" t="s">
        <v>3105</v>
      </c>
      <c r="C360" s="1" t="s">
        <v>4877</v>
      </c>
      <c r="D360" s="1" t="s">
        <v>10271</v>
      </c>
      <c r="E360" s="1" t="str">
        <f>"2310"</f>
        <v>2310</v>
      </c>
      <c r="F360" s="1" t="str">
        <f>"016231545"</f>
        <v>016231545</v>
      </c>
      <c r="G360" s="1" t="s">
        <v>3156</v>
      </c>
      <c r="H360" s="1" t="s">
        <v>15</v>
      </c>
      <c r="I360" s="3" t="str">
        <f>"1"</f>
        <v>1</v>
      </c>
      <c r="J360" s="3" t="str">
        <f>"32000"</f>
        <v>32000</v>
      </c>
      <c r="K360" s="2">
        <v>45902</v>
      </c>
      <c r="L360" s="2">
        <v>45902</v>
      </c>
      <c r="M360" s="1" t="s">
        <v>10270</v>
      </c>
      <c r="N360" s="1" t="s">
        <v>9928</v>
      </c>
    </row>
    <row r="361" spans="1:14" x14ac:dyDescent="0.35">
      <c r="A361" s="1" t="s">
        <v>0</v>
      </c>
      <c r="B361" s="3" t="s">
        <v>3183</v>
      </c>
      <c r="C361" s="1" t="s">
        <v>3487</v>
      </c>
      <c r="D361" s="1" t="s">
        <v>10269</v>
      </c>
      <c r="E361" s="1" t="str">
        <f>"2320"</f>
        <v>2320</v>
      </c>
      <c r="F361" s="1" t="s">
        <v>274</v>
      </c>
      <c r="G361" s="1" t="s">
        <v>275</v>
      </c>
      <c r="H361" s="1" t="s">
        <v>15</v>
      </c>
      <c r="I361" s="3" t="str">
        <f>"1"</f>
        <v>1</v>
      </c>
      <c r="J361" s="3">
        <v>27565.93</v>
      </c>
      <c r="K361" s="2">
        <v>45900</v>
      </c>
      <c r="L361" s="2">
        <v>45902</v>
      </c>
      <c r="M361" s="1" t="s">
        <v>10268</v>
      </c>
      <c r="N361" s="1" t="s">
        <v>10267</v>
      </c>
    </row>
    <row r="362" spans="1:14" x14ac:dyDescent="0.35">
      <c r="A362" s="1" t="s">
        <v>0</v>
      </c>
      <c r="B362" s="3" t="s">
        <v>3183</v>
      </c>
      <c r="C362" s="1" t="s">
        <v>3487</v>
      </c>
      <c r="D362" s="1" t="s">
        <v>10266</v>
      </c>
      <c r="E362" s="1" t="str">
        <f>"2320"</f>
        <v>2320</v>
      </c>
      <c r="F362" s="1" t="s">
        <v>274</v>
      </c>
      <c r="G362" s="1" t="s">
        <v>275</v>
      </c>
      <c r="H362" s="1" t="s">
        <v>15</v>
      </c>
      <c r="I362" s="3" t="str">
        <f>"1"</f>
        <v>1</v>
      </c>
      <c r="J362" s="3">
        <v>27124.560000000001</v>
      </c>
      <c r="K362" s="2">
        <v>45900</v>
      </c>
      <c r="L362" s="2">
        <v>45902</v>
      </c>
      <c r="M362" s="1" t="s">
        <v>10265</v>
      </c>
      <c r="N362" s="1" t="s">
        <v>10264</v>
      </c>
    </row>
    <row r="363" spans="1:14" x14ac:dyDescent="0.35">
      <c r="A363" s="1" t="s">
        <v>0</v>
      </c>
      <c r="B363" s="3" t="s">
        <v>3885</v>
      </c>
      <c r="C363" s="1" t="s">
        <v>4022</v>
      </c>
      <c r="D363" s="1" t="s">
        <v>10263</v>
      </c>
      <c r="E363" s="1" t="str">
        <f>"2320"</f>
        <v>2320</v>
      </c>
      <c r="F363" s="1" t="s">
        <v>274</v>
      </c>
      <c r="G363" s="1" t="s">
        <v>275</v>
      </c>
      <c r="H363" s="1" t="s">
        <v>15</v>
      </c>
      <c r="I363" s="3" t="str">
        <f>"1"</f>
        <v>1</v>
      </c>
      <c r="J363" s="3">
        <v>27124.560000000001</v>
      </c>
      <c r="K363" s="2">
        <v>45900</v>
      </c>
      <c r="L363" s="2">
        <v>45902</v>
      </c>
      <c r="M363" s="1" t="s">
        <v>4032</v>
      </c>
      <c r="N363" s="1" t="s">
        <v>10262</v>
      </c>
    </row>
    <row r="364" spans="1:14" x14ac:dyDescent="0.35">
      <c r="A364" s="1" t="s">
        <v>0</v>
      </c>
      <c r="B364" s="3" t="s">
        <v>3183</v>
      </c>
      <c r="C364" s="1" t="s">
        <v>3184</v>
      </c>
      <c r="D364" s="1" t="s">
        <v>10261</v>
      </c>
      <c r="E364" s="1" t="str">
        <f>"2320"</f>
        <v>2320</v>
      </c>
      <c r="F364" s="1" t="s">
        <v>274</v>
      </c>
      <c r="G364" s="1" t="s">
        <v>275</v>
      </c>
      <c r="H364" s="1" t="s">
        <v>15</v>
      </c>
      <c r="I364" s="3" t="str">
        <f>"1"</f>
        <v>1</v>
      </c>
      <c r="J364" s="3" t="str">
        <f>"24563"</f>
        <v>24563</v>
      </c>
      <c r="K364" s="2">
        <v>45899</v>
      </c>
      <c r="L364" s="2">
        <v>45902</v>
      </c>
      <c r="M364" s="1" t="s">
        <v>10260</v>
      </c>
      <c r="N364" s="1" t="s">
        <v>10259</v>
      </c>
    </row>
    <row r="365" spans="1:14" x14ac:dyDescent="0.35">
      <c r="A365" s="1" t="s">
        <v>0</v>
      </c>
      <c r="B365" s="3" t="s">
        <v>3183</v>
      </c>
      <c r="C365" s="1" t="s">
        <v>3184</v>
      </c>
      <c r="D365" s="1" t="s">
        <v>10258</v>
      </c>
      <c r="E365" s="1" t="str">
        <f>"2320"</f>
        <v>2320</v>
      </c>
      <c r="F365" s="1" t="s">
        <v>274</v>
      </c>
      <c r="G365" s="1" t="s">
        <v>275</v>
      </c>
      <c r="H365" s="1" t="s">
        <v>15</v>
      </c>
      <c r="I365" s="3" t="str">
        <f>"1"</f>
        <v>1</v>
      </c>
      <c r="J365" s="3">
        <v>24563.200000000001</v>
      </c>
      <c r="K365" s="2">
        <v>45899</v>
      </c>
      <c r="L365" s="2">
        <v>45902</v>
      </c>
      <c r="M365" s="1" t="s">
        <v>10257</v>
      </c>
      <c r="N365" s="1" t="s">
        <v>10256</v>
      </c>
    </row>
    <row r="366" spans="1:14" x14ac:dyDescent="0.35">
      <c r="A366" s="1" t="s">
        <v>0</v>
      </c>
      <c r="B366" s="3" t="s">
        <v>3105</v>
      </c>
      <c r="C366" s="1" t="s">
        <v>10255</v>
      </c>
      <c r="D366" s="1" t="s">
        <v>10254</v>
      </c>
      <c r="E366" s="1" t="str">
        <f>"1095"</f>
        <v>1095</v>
      </c>
      <c r="F366" s="1" t="str">
        <f>"015432189"</f>
        <v>015432189</v>
      </c>
      <c r="G366" s="1" t="s">
        <v>106</v>
      </c>
      <c r="H366" s="1" t="s">
        <v>15</v>
      </c>
      <c r="I366" s="3" t="str">
        <f>"5"</f>
        <v>5</v>
      </c>
      <c r="J366" s="3" t="str">
        <f>"959"</f>
        <v>959</v>
      </c>
      <c r="K366" s="2">
        <v>45898</v>
      </c>
      <c r="L366" s="2">
        <v>45902</v>
      </c>
      <c r="M366" s="1" t="s">
        <v>10253</v>
      </c>
      <c r="N366" s="1" t="s">
        <v>9947</v>
      </c>
    </row>
    <row r="367" spans="1:14" x14ac:dyDescent="0.35">
      <c r="A367" s="1" t="s">
        <v>0</v>
      </c>
      <c r="B367" s="3" t="s">
        <v>3105</v>
      </c>
      <c r="C367" s="1" t="s">
        <v>3141</v>
      </c>
      <c r="D367" s="1" t="s">
        <v>10252</v>
      </c>
      <c r="E367" s="1" t="str">
        <f>"5855"</f>
        <v>5855</v>
      </c>
      <c r="F367" s="1" t="str">
        <f>"015330555"</f>
        <v>015330555</v>
      </c>
      <c r="G367" s="1" t="s">
        <v>2656</v>
      </c>
      <c r="H367" s="1" t="s">
        <v>15</v>
      </c>
      <c r="I367" s="3" t="str">
        <f>"13"</f>
        <v>13</v>
      </c>
      <c r="J367" s="3" t="str">
        <f>"1800"</f>
        <v>1800</v>
      </c>
      <c r="K367" s="2">
        <v>45898</v>
      </c>
      <c r="L367" s="2">
        <v>45902</v>
      </c>
      <c r="M367" s="1" t="s">
        <v>3143</v>
      </c>
      <c r="N367" s="1" t="s">
        <v>10023</v>
      </c>
    </row>
    <row r="368" spans="1:14" x14ac:dyDescent="0.35">
      <c r="A368" s="1" t="s">
        <v>0</v>
      </c>
      <c r="B368" s="3" t="s">
        <v>2248</v>
      </c>
      <c r="C368" s="1" t="s">
        <v>7603</v>
      </c>
      <c r="D368" s="1" t="s">
        <v>10251</v>
      </c>
      <c r="E368" s="1" t="str">
        <f>"1005"</f>
        <v>1005</v>
      </c>
      <c r="F368" s="1" t="str">
        <f>"015205992"</f>
        <v>015205992</v>
      </c>
      <c r="G368" s="1" t="s">
        <v>4601</v>
      </c>
      <c r="H368" s="1" t="s">
        <v>15</v>
      </c>
      <c r="I368" s="3" t="str">
        <f>"103"</f>
        <v>103</v>
      </c>
      <c r="J368" s="3">
        <v>42.81</v>
      </c>
      <c r="K368" s="2">
        <v>45897</v>
      </c>
      <c r="L368" s="2">
        <v>45898</v>
      </c>
      <c r="M368" s="1" t="s">
        <v>10250</v>
      </c>
      <c r="N368" s="1" t="s">
        <v>10193</v>
      </c>
    </row>
    <row r="369" spans="1:14" x14ac:dyDescent="0.35">
      <c r="A369" s="1" t="s">
        <v>0</v>
      </c>
      <c r="B369" s="3" t="s">
        <v>1844</v>
      </c>
      <c r="C369" s="1" t="s">
        <v>7839</v>
      </c>
      <c r="D369" s="1" t="s">
        <v>10249</v>
      </c>
      <c r="E369" s="1" t="str">
        <f>"2340"</f>
        <v>2340</v>
      </c>
      <c r="F369" s="1" t="s">
        <v>647</v>
      </c>
      <c r="G369" s="1" t="s">
        <v>648</v>
      </c>
      <c r="H369" s="1" t="s">
        <v>15</v>
      </c>
      <c r="I369" s="3" t="str">
        <f>"0"</f>
        <v>0</v>
      </c>
      <c r="J369" s="3" t="str">
        <f>"5000"</f>
        <v>5000</v>
      </c>
      <c r="K369" s="2">
        <v>45896</v>
      </c>
      <c r="L369" s="2">
        <v>45898</v>
      </c>
      <c r="M369" s="1" t="s">
        <v>10248</v>
      </c>
      <c r="N369" s="1" t="s">
        <v>10247</v>
      </c>
    </row>
    <row r="370" spans="1:14" x14ac:dyDescent="0.35">
      <c r="A370" s="1" t="s">
        <v>0</v>
      </c>
      <c r="B370" s="3" t="s">
        <v>2494</v>
      </c>
      <c r="C370" s="1" t="s">
        <v>2617</v>
      </c>
      <c r="D370" s="1" t="s">
        <v>10246</v>
      </c>
      <c r="E370" s="1" t="str">
        <f>"1550"</f>
        <v>1550</v>
      </c>
      <c r="F370" s="1" t="str">
        <f>"016215533"</f>
        <v>016215533</v>
      </c>
      <c r="G370" s="1" t="s">
        <v>2334</v>
      </c>
      <c r="H370" s="1" t="s">
        <v>15</v>
      </c>
      <c r="I370" s="3" t="str">
        <f>"1"</f>
        <v>1</v>
      </c>
      <c r="J370" s="3" t="str">
        <f>"168000"</f>
        <v>168000</v>
      </c>
      <c r="K370" s="2">
        <v>45896</v>
      </c>
      <c r="L370" s="2">
        <v>45897</v>
      </c>
      <c r="M370" s="1" t="s">
        <v>2619</v>
      </c>
      <c r="N370" s="1" t="s">
        <v>10245</v>
      </c>
    </row>
    <row r="371" spans="1:14" x14ac:dyDescent="0.35">
      <c r="A371" s="1" t="s">
        <v>0</v>
      </c>
      <c r="B371" s="3" t="s">
        <v>3183</v>
      </c>
      <c r="C371" s="1" t="s">
        <v>10231</v>
      </c>
      <c r="D371" s="1" t="s">
        <v>10244</v>
      </c>
      <c r="E371" s="1" t="str">
        <f>"3750"</f>
        <v>3750</v>
      </c>
      <c r="F371" s="1" t="s">
        <v>392</v>
      </c>
      <c r="G371" s="1" t="s">
        <v>393</v>
      </c>
      <c r="H371" s="1" t="s">
        <v>15</v>
      </c>
      <c r="I371" s="3" t="str">
        <f>"1"</f>
        <v>1</v>
      </c>
      <c r="J371" s="3" t="str">
        <f>"500"</f>
        <v>500</v>
      </c>
      <c r="K371" s="2">
        <v>45896</v>
      </c>
      <c r="L371" s="2">
        <v>45897</v>
      </c>
      <c r="M371" s="1" t="s">
        <v>10243</v>
      </c>
      <c r="N371" s="1" t="s">
        <v>10228</v>
      </c>
    </row>
    <row r="372" spans="1:14" x14ac:dyDescent="0.35">
      <c r="A372" s="1" t="s">
        <v>0</v>
      </c>
      <c r="B372" s="3" t="s">
        <v>3183</v>
      </c>
      <c r="C372" s="1" t="s">
        <v>10231</v>
      </c>
      <c r="D372" s="1" t="s">
        <v>10242</v>
      </c>
      <c r="E372" s="1" t="str">
        <f>"8465"</f>
        <v>8465</v>
      </c>
      <c r="F372" s="1" t="str">
        <f>"016733364"</f>
        <v>016733364</v>
      </c>
      <c r="G372" s="1" t="s">
        <v>857</v>
      </c>
      <c r="H372" s="1" t="s">
        <v>58</v>
      </c>
      <c r="I372" s="3" t="str">
        <f>"2"</f>
        <v>2</v>
      </c>
      <c r="J372" s="3">
        <v>389.21</v>
      </c>
      <c r="K372" s="2">
        <v>45896</v>
      </c>
      <c r="L372" s="2">
        <v>45897</v>
      </c>
      <c r="M372" s="1" t="s">
        <v>10240</v>
      </c>
      <c r="N372" s="1" t="s">
        <v>10155</v>
      </c>
    </row>
    <row r="373" spans="1:14" x14ac:dyDescent="0.35">
      <c r="A373" s="1" t="s">
        <v>0</v>
      </c>
      <c r="B373" s="3" t="s">
        <v>3183</v>
      </c>
      <c r="C373" s="1" t="s">
        <v>10231</v>
      </c>
      <c r="D373" s="1" t="s">
        <v>10241</v>
      </c>
      <c r="E373" s="1" t="str">
        <f>"8465"</f>
        <v>8465</v>
      </c>
      <c r="F373" s="1" t="str">
        <f>"016733364"</f>
        <v>016733364</v>
      </c>
      <c r="G373" s="1" t="s">
        <v>857</v>
      </c>
      <c r="H373" s="1" t="s">
        <v>58</v>
      </c>
      <c r="I373" s="3" t="str">
        <f>"2"</f>
        <v>2</v>
      </c>
      <c r="J373" s="3">
        <v>389.21</v>
      </c>
      <c r="K373" s="2">
        <v>45896</v>
      </c>
      <c r="L373" s="2">
        <v>45897</v>
      </c>
      <c r="M373" s="1" t="s">
        <v>10240</v>
      </c>
      <c r="N373" s="1" t="s">
        <v>10228</v>
      </c>
    </row>
    <row r="374" spans="1:14" x14ac:dyDescent="0.35">
      <c r="A374" s="1" t="s">
        <v>0</v>
      </c>
      <c r="B374" s="3" t="s">
        <v>3183</v>
      </c>
      <c r="C374" s="1" t="s">
        <v>10231</v>
      </c>
      <c r="D374" s="1" t="s">
        <v>10239</v>
      </c>
      <c r="E374" s="1" t="str">
        <f>"2320"</f>
        <v>2320</v>
      </c>
      <c r="F374" s="1" t="s">
        <v>321</v>
      </c>
      <c r="G374" s="1" t="s">
        <v>322</v>
      </c>
      <c r="H374" s="1" t="s">
        <v>15</v>
      </c>
      <c r="I374" s="3" t="str">
        <f>"1"</f>
        <v>1</v>
      </c>
      <c r="J374" s="3" t="str">
        <f>"10000"</f>
        <v>10000</v>
      </c>
      <c r="K374" s="2">
        <v>45896</v>
      </c>
      <c r="L374" s="2">
        <v>45897</v>
      </c>
      <c r="M374" s="1" t="s">
        <v>10238</v>
      </c>
      <c r="N374" s="1" t="s">
        <v>10228</v>
      </c>
    </row>
    <row r="375" spans="1:14" x14ac:dyDescent="0.35">
      <c r="A375" s="1" t="s">
        <v>0</v>
      </c>
      <c r="B375" s="3" t="s">
        <v>3183</v>
      </c>
      <c r="C375" s="1" t="s">
        <v>10231</v>
      </c>
      <c r="D375" s="1" t="s">
        <v>10237</v>
      </c>
      <c r="E375" s="1" t="str">
        <f>"4210"</f>
        <v>4210</v>
      </c>
      <c r="F375" s="1" t="str">
        <f>"015534534"</f>
        <v>015534534</v>
      </c>
      <c r="G375" s="1" t="s">
        <v>6901</v>
      </c>
      <c r="H375" s="1" t="s">
        <v>15</v>
      </c>
      <c r="I375" s="3" t="str">
        <f>"1"</f>
        <v>1</v>
      </c>
      <c r="J375" s="3" t="str">
        <f>"171116"</f>
        <v>171116</v>
      </c>
      <c r="K375" s="2">
        <v>45896</v>
      </c>
      <c r="L375" s="2">
        <v>45897</v>
      </c>
      <c r="M375" s="1" t="s">
        <v>10236</v>
      </c>
      <c r="N375" s="1" t="s">
        <v>10228</v>
      </c>
    </row>
    <row r="376" spans="1:14" x14ac:dyDescent="0.35">
      <c r="A376" s="1" t="s">
        <v>0</v>
      </c>
      <c r="B376" s="3" t="s">
        <v>3183</v>
      </c>
      <c r="C376" s="1" t="s">
        <v>10231</v>
      </c>
      <c r="D376" s="1" t="s">
        <v>10235</v>
      </c>
      <c r="E376" s="1" t="str">
        <f>"2320"</f>
        <v>2320</v>
      </c>
      <c r="F376" s="1" t="str">
        <f>"010496070"</f>
        <v>010496070</v>
      </c>
      <c r="G376" s="1" t="s">
        <v>5457</v>
      </c>
      <c r="H376" s="1" t="s">
        <v>15</v>
      </c>
      <c r="I376" s="3" t="str">
        <f>"1"</f>
        <v>1</v>
      </c>
      <c r="J376" s="3" t="str">
        <f>"30858"</f>
        <v>30858</v>
      </c>
      <c r="K376" s="2">
        <v>45896</v>
      </c>
      <c r="L376" s="2">
        <v>45897</v>
      </c>
      <c r="M376" s="1" t="s">
        <v>10234</v>
      </c>
      <c r="N376" s="1" t="s">
        <v>10228</v>
      </c>
    </row>
    <row r="377" spans="1:14" x14ac:dyDescent="0.35">
      <c r="A377" s="1" t="s">
        <v>0</v>
      </c>
      <c r="B377" s="3" t="s">
        <v>3183</v>
      </c>
      <c r="C377" s="1" t="s">
        <v>10231</v>
      </c>
      <c r="D377" s="1" t="s">
        <v>10233</v>
      </c>
      <c r="E377" s="1" t="str">
        <f>"2340"</f>
        <v>2340</v>
      </c>
      <c r="F377" s="1" t="s">
        <v>439</v>
      </c>
      <c r="G377" s="1" t="s">
        <v>440</v>
      </c>
      <c r="H377" s="1" t="s">
        <v>15</v>
      </c>
      <c r="I377" s="3" t="str">
        <f>"1"</f>
        <v>1</v>
      </c>
      <c r="J377" s="3" t="str">
        <f>"5000"</f>
        <v>5000</v>
      </c>
      <c r="K377" s="2">
        <v>45896</v>
      </c>
      <c r="L377" s="2">
        <v>45897</v>
      </c>
      <c r="M377" s="1" t="s">
        <v>10232</v>
      </c>
      <c r="N377" s="1" t="s">
        <v>10228</v>
      </c>
    </row>
    <row r="378" spans="1:14" x14ac:dyDescent="0.35">
      <c r="A378" s="1" t="s">
        <v>0</v>
      </c>
      <c r="B378" s="3" t="s">
        <v>3183</v>
      </c>
      <c r="C378" s="1" t="s">
        <v>10231</v>
      </c>
      <c r="D378" s="1" t="s">
        <v>10230</v>
      </c>
      <c r="E378" s="1" t="str">
        <f>"2320"</f>
        <v>2320</v>
      </c>
      <c r="F378" s="1" t="str">
        <f>"010132754"</f>
        <v>010132754</v>
      </c>
      <c r="G378" s="1" t="s">
        <v>10157</v>
      </c>
      <c r="H378" s="1" t="s">
        <v>15</v>
      </c>
      <c r="I378" s="3" t="str">
        <f>"1"</f>
        <v>1</v>
      </c>
      <c r="J378" s="3" t="str">
        <f>"18299"</f>
        <v>18299</v>
      </c>
      <c r="K378" s="2">
        <v>45896</v>
      </c>
      <c r="L378" s="2">
        <v>45897</v>
      </c>
      <c r="M378" s="1" t="s">
        <v>10229</v>
      </c>
      <c r="N378" s="1" t="s">
        <v>10228</v>
      </c>
    </row>
    <row r="379" spans="1:14" x14ac:dyDescent="0.35">
      <c r="A379" s="1" t="s">
        <v>0</v>
      </c>
      <c r="B379" s="3" t="s">
        <v>3879</v>
      </c>
      <c r="C379" s="1" t="s">
        <v>9846</v>
      </c>
      <c r="D379" s="1" t="s">
        <v>10227</v>
      </c>
      <c r="E379" s="1" t="str">
        <f>"6515"</f>
        <v>6515</v>
      </c>
      <c r="F379" s="1" t="s">
        <v>249</v>
      </c>
      <c r="G379" s="1" t="s">
        <v>250</v>
      </c>
      <c r="H379" s="1" t="s">
        <v>15</v>
      </c>
      <c r="I379" s="3" t="str">
        <f>"1"</f>
        <v>1</v>
      </c>
      <c r="J379" s="3">
        <v>12490.85</v>
      </c>
      <c r="K379" s="2">
        <v>45880</v>
      </c>
      <c r="L379" s="2">
        <v>45897</v>
      </c>
      <c r="M379" s="1" t="s">
        <v>10226</v>
      </c>
      <c r="N379" s="1" t="s">
        <v>10225</v>
      </c>
    </row>
    <row r="380" spans="1:14" x14ac:dyDescent="0.35">
      <c r="A380" s="1" t="s">
        <v>0</v>
      </c>
      <c r="B380" s="3" t="s">
        <v>2494</v>
      </c>
      <c r="C380" s="1" t="s">
        <v>2584</v>
      </c>
      <c r="D380" s="1" t="s">
        <v>10224</v>
      </c>
      <c r="E380" s="1" t="str">
        <f>"5855"</f>
        <v>5855</v>
      </c>
      <c r="F380" s="1" t="str">
        <f>"014778738"</f>
        <v>014778738</v>
      </c>
      <c r="G380" s="1" t="s">
        <v>1942</v>
      </c>
      <c r="H380" s="1" t="s">
        <v>15</v>
      </c>
      <c r="I380" s="3" t="str">
        <f>"25"</f>
        <v>25</v>
      </c>
      <c r="J380" s="3" t="str">
        <f>"7830"</f>
        <v>7830</v>
      </c>
      <c r="K380" s="2">
        <v>45896</v>
      </c>
      <c r="L380" s="2">
        <v>45896</v>
      </c>
      <c r="M380" s="1" t="s">
        <v>10223</v>
      </c>
      <c r="N380" s="1" t="s">
        <v>10222</v>
      </c>
    </row>
    <row r="381" spans="1:14" x14ac:dyDescent="0.35">
      <c r="A381" s="1" t="s">
        <v>0</v>
      </c>
      <c r="B381" s="3" t="s">
        <v>2494</v>
      </c>
      <c r="C381" s="1" t="s">
        <v>2584</v>
      </c>
      <c r="D381" s="1" t="s">
        <v>10221</v>
      </c>
      <c r="E381" s="1" t="str">
        <f>"5855"</f>
        <v>5855</v>
      </c>
      <c r="F381" s="1" t="str">
        <f>"014778738"</f>
        <v>014778738</v>
      </c>
      <c r="G381" s="1" t="s">
        <v>1942</v>
      </c>
      <c r="H381" s="1" t="s">
        <v>15</v>
      </c>
      <c r="I381" s="3" t="str">
        <f>"25"</f>
        <v>25</v>
      </c>
      <c r="J381" s="3" t="str">
        <f>"7830"</f>
        <v>7830</v>
      </c>
      <c r="K381" s="2">
        <v>45895</v>
      </c>
      <c r="L381" s="2">
        <v>45896</v>
      </c>
      <c r="M381" s="1" t="s">
        <v>10220</v>
      </c>
      <c r="N381" s="1" t="s">
        <v>10219</v>
      </c>
    </row>
    <row r="382" spans="1:14" x14ac:dyDescent="0.35">
      <c r="A382" s="1" t="s">
        <v>0</v>
      </c>
      <c r="B382" s="3" t="s">
        <v>3183</v>
      </c>
      <c r="C382" s="1" t="s">
        <v>3435</v>
      </c>
      <c r="D382" s="1" t="s">
        <v>10218</v>
      </c>
      <c r="E382" s="1" t="str">
        <f>"2320"</f>
        <v>2320</v>
      </c>
      <c r="F382" s="1" t="s">
        <v>321</v>
      </c>
      <c r="G382" s="1" t="s">
        <v>322</v>
      </c>
      <c r="H382" s="1" t="s">
        <v>15</v>
      </c>
      <c r="I382" s="3" t="str">
        <f>"1"</f>
        <v>1</v>
      </c>
      <c r="J382" s="3" t="str">
        <f>"650000"</f>
        <v>650000</v>
      </c>
      <c r="K382" s="2">
        <v>45892</v>
      </c>
      <c r="L382" s="2">
        <v>45895</v>
      </c>
      <c r="M382" s="1" t="s">
        <v>10217</v>
      </c>
      <c r="N382" s="1" t="s">
        <v>10155</v>
      </c>
    </row>
    <row r="383" spans="1:14" x14ac:dyDescent="0.35">
      <c r="A383" s="1" t="s">
        <v>0</v>
      </c>
      <c r="B383" s="3" t="s">
        <v>3183</v>
      </c>
      <c r="C383" s="1" t="s">
        <v>10216</v>
      </c>
      <c r="D383" s="1" t="s">
        <v>10215</v>
      </c>
      <c r="E383" s="1" t="str">
        <f>"1520"</f>
        <v>1520</v>
      </c>
      <c r="F383" s="1" t="s">
        <v>3318</v>
      </c>
      <c r="G383" s="1" t="s">
        <v>3319</v>
      </c>
      <c r="H383" s="1" t="s">
        <v>15</v>
      </c>
      <c r="I383" s="3" t="str">
        <f>"1"</f>
        <v>1</v>
      </c>
      <c r="J383" s="3" t="str">
        <f>"1200000"</f>
        <v>1200000</v>
      </c>
      <c r="K383" s="2">
        <v>45894</v>
      </c>
      <c r="L383" s="2">
        <v>45894</v>
      </c>
      <c r="M383" s="1" t="s">
        <v>10214</v>
      </c>
      <c r="N383" s="1" t="s">
        <v>10213</v>
      </c>
    </row>
    <row r="384" spans="1:14" x14ac:dyDescent="0.35">
      <c r="A384" s="1" t="s">
        <v>0</v>
      </c>
      <c r="B384" s="3" t="s">
        <v>1857</v>
      </c>
      <c r="C384" s="1" t="s">
        <v>10212</v>
      </c>
      <c r="D384" s="1" t="s">
        <v>10211</v>
      </c>
      <c r="E384" s="1" t="str">
        <f>"2360"</f>
        <v>2360</v>
      </c>
      <c r="F384" s="1" t="str">
        <f>"016634386"</f>
        <v>016634386</v>
      </c>
      <c r="G384" s="1" t="s">
        <v>14</v>
      </c>
      <c r="H384" s="1" t="s">
        <v>15</v>
      </c>
      <c r="I384" s="3" t="str">
        <f>"1"</f>
        <v>1</v>
      </c>
      <c r="J384" s="3" t="str">
        <f>"150500"</f>
        <v>150500</v>
      </c>
      <c r="K384" s="2">
        <v>45894</v>
      </c>
      <c r="L384" s="2">
        <v>45894</v>
      </c>
      <c r="M384" s="1" t="s">
        <v>10210</v>
      </c>
      <c r="N384" s="1" t="s">
        <v>10084</v>
      </c>
    </row>
    <row r="385" spans="1:14" x14ac:dyDescent="0.35">
      <c r="A385" s="1" t="s">
        <v>0</v>
      </c>
      <c r="B385" s="3" t="s">
        <v>2456</v>
      </c>
      <c r="C385" s="1" t="s">
        <v>2457</v>
      </c>
      <c r="D385" s="1" t="s">
        <v>10209</v>
      </c>
      <c r="E385" s="1" t="str">
        <f>"8465"</f>
        <v>8465</v>
      </c>
      <c r="F385" s="1" t="str">
        <f>"015851512"</f>
        <v>015851512</v>
      </c>
      <c r="G385" s="1" t="s">
        <v>57</v>
      </c>
      <c r="H385" s="1" t="s">
        <v>58</v>
      </c>
      <c r="I385" s="3" t="str">
        <f>"4"</f>
        <v>4</v>
      </c>
      <c r="J385" s="3">
        <v>120.52</v>
      </c>
      <c r="K385" s="2">
        <v>45891</v>
      </c>
      <c r="L385" s="2">
        <v>45891</v>
      </c>
      <c r="M385" s="1" t="s">
        <v>2484</v>
      </c>
      <c r="N385" s="1" t="s">
        <v>10208</v>
      </c>
    </row>
    <row r="386" spans="1:14" x14ac:dyDescent="0.35">
      <c r="A386" s="1" t="s">
        <v>0</v>
      </c>
      <c r="B386" s="3" t="s">
        <v>2494</v>
      </c>
      <c r="C386" s="1" t="s">
        <v>2617</v>
      </c>
      <c r="D386" s="1" t="s">
        <v>10207</v>
      </c>
      <c r="E386" s="1" t="str">
        <f>"5855"</f>
        <v>5855</v>
      </c>
      <c r="F386" s="1" t="s">
        <v>285</v>
      </c>
      <c r="G386" s="1" t="s">
        <v>286</v>
      </c>
      <c r="H386" s="1" t="s">
        <v>15</v>
      </c>
      <c r="I386" s="3" t="str">
        <f>"1"</f>
        <v>1</v>
      </c>
      <c r="J386" s="3" t="str">
        <f>"290000"</f>
        <v>290000</v>
      </c>
      <c r="K386" s="2">
        <v>45890</v>
      </c>
      <c r="L386" s="2">
        <v>45891</v>
      </c>
      <c r="M386" s="1" t="s">
        <v>10206</v>
      </c>
      <c r="N386" s="1" t="s">
        <v>10205</v>
      </c>
    </row>
    <row r="387" spans="1:14" x14ac:dyDescent="0.35">
      <c r="A387" s="1" t="s">
        <v>0</v>
      </c>
      <c r="B387" s="3" t="s">
        <v>3105</v>
      </c>
      <c r="C387" s="1" t="s">
        <v>3141</v>
      </c>
      <c r="D387" s="1" t="s">
        <v>10204</v>
      </c>
      <c r="E387" s="1" t="str">
        <f>"2320"</f>
        <v>2320</v>
      </c>
      <c r="F387" s="1" t="str">
        <f>"015402017"</f>
        <v>015402017</v>
      </c>
      <c r="G387" s="1" t="s">
        <v>604</v>
      </c>
      <c r="H387" s="1" t="s">
        <v>15</v>
      </c>
      <c r="I387" s="3" t="str">
        <f>"1"</f>
        <v>1</v>
      </c>
      <c r="J387" s="3" t="str">
        <f>"204469"</f>
        <v>204469</v>
      </c>
      <c r="K387" s="2">
        <v>45886</v>
      </c>
      <c r="L387" s="2">
        <v>45891</v>
      </c>
      <c r="M387" s="1" t="s">
        <v>10203</v>
      </c>
      <c r="N387" s="1" t="s">
        <v>10200</v>
      </c>
    </row>
    <row r="388" spans="1:14" x14ac:dyDescent="0.35">
      <c r="A388" s="1" t="s">
        <v>0</v>
      </c>
      <c r="B388" s="3" t="s">
        <v>3105</v>
      </c>
      <c r="C388" s="1" t="s">
        <v>3141</v>
      </c>
      <c r="D388" s="1" t="s">
        <v>10202</v>
      </c>
      <c r="E388" s="1" t="str">
        <f>"2320"</f>
        <v>2320</v>
      </c>
      <c r="F388" s="1" t="str">
        <f>"015402038"</f>
        <v>015402038</v>
      </c>
      <c r="G388" s="1" t="s">
        <v>604</v>
      </c>
      <c r="H388" s="1" t="s">
        <v>15</v>
      </c>
      <c r="I388" s="3" t="str">
        <f>"1"</f>
        <v>1</v>
      </c>
      <c r="J388" s="3" t="str">
        <f>"225121"</f>
        <v>225121</v>
      </c>
      <c r="K388" s="2">
        <v>45886</v>
      </c>
      <c r="L388" s="2">
        <v>45891</v>
      </c>
      <c r="M388" s="1" t="s">
        <v>10201</v>
      </c>
      <c r="N388" s="1" t="s">
        <v>10200</v>
      </c>
    </row>
    <row r="389" spans="1:14" x14ac:dyDescent="0.35">
      <c r="A389" s="1" t="s">
        <v>0</v>
      </c>
      <c r="B389" s="3" t="s">
        <v>1857</v>
      </c>
      <c r="C389" s="1" t="s">
        <v>1918</v>
      </c>
      <c r="D389" s="1" t="s">
        <v>10199</v>
      </c>
      <c r="E389" s="1" t="str">
        <f>"1005"</f>
        <v>1005</v>
      </c>
      <c r="F389" s="1" t="str">
        <f>"014715456"</f>
        <v>014715456</v>
      </c>
      <c r="G389" s="1" t="s">
        <v>1920</v>
      </c>
      <c r="H389" s="1" t="s">
        <v>15</v>
      </c>
      <c r="I389" s="3" t="str">
        <f>"3"</f>
        <v>3</v>
      </c>
      <c r="J389" s="3">
        <v>315.39999999999998</v>
      </c>
      <c r="K389" s="2">
        <v>45889</v>
      </c>
      <c r="L389" s="2">
        <v>45890</v>
      </c>
      <c r="M389" s="1" t="s">
        <v>10198</v>
      </c>
      <c r="N389" s="1" t="s">
        <v>10084</v>
      </c>
    </row>
    <row r="390" spans="1:14" x14ac:dyDescent="0.35">
      <c r="A390" s="1" t="s">
        <v>0</v>
      </c>
      <c r="B390" s="3" t="s">
        <v>2248</v>
      </c>
      <c r="C390" s="1" t="s">
        <v>2249</v>
      </c>
      <c r="D390" s="1" t="s">
        <v>10197</v>
      </c>
      <c r="E390" s="1" t="str">
        <f>"1240"</f>
        <v>1240</v>
      </c>
      <c r="F390" s="1" t="s">
        <v>1461</v>
      </c>
      <c r="G390" s="1" t="s">
        <v>1462</v>
      </c>
      <c r="H390" s="1" t="s">
        <v>15</v>
      </c>
      <c r="I390" s="3" t="str">
        <f>"2"</f>
        <v>2</v>
      </c>
      <c r="J390" s="3" t="str">
        <f>"1300"</f>
        <v>1300</v>
      </c>
      <c r="K390" s="2">
        <v>45889</v>
      </c>
      <c r="L390" s="2">
        <v>45889</v>
      </c>
      <c r="M390" s="1" t="s">
        <v>10196</v>
      </c>
      <c r="N390" s="1" t="s">
        <v>10193</v>
      </c>
    </row>
    <row r="391" spans="1:14" x14ac:dyDescent="0.35">
      <c r="A391" s="1" t="s">
        <v>0</v>
      </c>
      <c r="B391" s="3" t="s">
        <v>2248</v>
      </c>
      <c r="C391" s="1" t="s">
        <v>2414</v>
      </c>
      <c r="D391" s="1" t="s">
        <v>10195</v>
      </c>
      <c r="E391" s="1" t="str">
        <f>"1240"</f>
        <v>1240</v>
      </c>
      <c r="F391" s="1" t="s">
        <v>1461</v>
      </c>
      <c r="G391" s="1" t="s">
        <v>1462</v>
      </c>
      <c r="H391" s="1" t="s">
        <v>15</v>
      </c>
      <c r="I391" s="3" t="str">
        <f>"1"</f>
        <v>1</v>
      </c>
      <c r="J391" s="3" t="str">
        <f>"1300"</f>
        <v>1300</v>
      </c>
      <c r="K391" s="2">
        <v>45889</v>
      </c>
      <c r="L391" s="2">
        <v>45889</v>
      </c>
      <c r="M391" s="1" t="s">
        <v>10194</v>
      </c>
      <c r="N391" s="1" t="s">
        <v>10193</v>
      </c>
    </row>
    <row r="392" spans="1:14" x14ac:dyDescent="0.35">
      <c r="A392" s="1" t="s">
        <v>0</v>
      </c>
      <c r="B392" s="3" t="s">
        <v>3885</v>
      </c>
      <c r="C392" s="1" t="s">
        <v>4074</v>
      </c>
      <c r="D392" s="1" t="s">
        <v>10192</v>
      </c>
      <c r="E392" s="1" t="str">
        <f>"2340"</f>
        <v>2340</v>
      </c>
      <c r="F392" s="1" t="s">
        <v>278</v>
      </c>
      <c r="G392" s="1" t="s">
        <v>279</v>
      </c>
      <c r="H392" s="1" t="s">
        <v>15</v>
      </c>
      <c r="I392" s="3" t="str">
        <f>"1"</f>
        <v>1</v>
      </c>
      <c r="J392" s="3">
        <v>16937.47</v>
      </c>
      <c r="K392" s="2">
        <v>45889</v>
      </c>
      <c r="L392" s="2">
        <v>45889</v>
      </c>
      <c r="M392" s="1" t="s">
        <v>10189</v>
      </c>
      <c r="N392" s="1" t="s">
        <v>10188</v>
      </c>
    </row>
    <row r="393" spans="1:14" x14ac:dyDescent="0.35">
      <c r="A393" s="1" t="s">
        <v>0</v>
      </c>
      <c r="B393" s="3" t="s">
        <v>3885</v>
      </c>
      <c r="C393" s="1" t="s">
        <v>4074</v>
      </c>
      <c r="D393" s="1" t="s">
        <v>10191</v>
      </c>
      <c r="E393" s="1" t="str">
        <f>"2340"</f>
        <v>2340</v>
      </c>
      <c r="F393" s="1" t="s">
        <v>278</v>
      </c>
      <c r="G393" s="1" t="s">
        <v>279</v>
      </c>
      <c r="H393" s="1" t="s">
        <v>15</v>
      </c>
      <c r="I393" s="3" t="str">
        <f>"1"</f>
        <v>1</v>
      </c>
      <c r="J393" s="3">
        <v>9284.27</v>
      </c>
      <c r="K393" s="2">
        <v>45889</v>
      </c>
      <c r="L393" s="2">
        <v>45889</v>
      </c>
      <c r="M393" s="1" t="s">
        <v>10189</v>
      </c>
      <c r="N393" s="1" t="s">
        <v>10188</v>
      </c>
    </row>
    <row r="394" spans="1:14" x14ac:dyDescent="0.35">
      <c r="A394" s="1" t="s">
        <v>0</v>
      </c>
      <c r="B394" s="3" t="s">
        <v>3885</v>
      </c>
      <c r="C394" s="1" t="s">
        <v>4074</v>
      </c>
      <c r="D394" s="1" t="s">
        <v>10190</v>
      </c>
      <c r="E394" s="1" t="str">
        <f>"2340"</f>
        <v>2340</v>
      </c>
      <c r="F394" s="1" t="s">
        <v>278</v>
      </c>
      <c r="G394" s="1" t="s">
        <v>279</v>
      </c>
      <c r="H394" s="1" t="s">
        <v>15</v>
      </c>
      <c r="I394" s="3" t="str">
        <f>"1"</f>
        <v>1</v>
      </c>
      <c r="J394" s="3">
        <v>12315.66</v>
      </c>
      <c r="K394" s="2">
        <v>45889</v>
      </c>
      <c r="L394" s="2">
        <v>45889</v>
      </c>
      <c r="M394" s="1" t="s">
        <v>10189</v>
      </c>
      <c r="N394" s="1" t="s">
        <v>10188</v>
      </c>
    </row>
    <row r="395" spans="1:14" x14ac:dyDescent="0.35">
      <c r="A395" s="1" t="s">
        <v>0</v>
      </c>
      <c r="B395" s="3" t="s">
        <v>2494</v>
      </c>
      <c r="C395" s="1" t="s">
        <v>4610</v>
      </c>
      <c r="D395" s="1" t="s">
        <v>10187</v>
      </c>
      <c r="E395" s="1" t="str">
        <f>"2320"</f>
        <v>2320</v>
      </c>
      <c r="F395" s="1" t="str">
        <f>"013469317"</f>
        <v>013469317</v>
      </c>
      <c r="G395" s="1" t="s">
        <v>604</v>
      </c>
      <c r="H395" s="1" t="s">
        <v>15</v>
      </c>
      <c r="I395" s="3" t="str">
        <f>"1"</f>
        <v>1</v>
      </c>
      <c r="J395" s="3" t="str">
        <f>"94171"</f>
        <v>94171</v>
      </c>
      <c r="K395" s="2">
        <v>45888</v>
      </c>
      <c r="L395" s="2">
        <v>45889</v>
      </c>
      <c r="M395" s="1" t="s">
        <v>10186</v>
      </c>
      <c r="N395" s="1" t="s">
        <v>10185</v>
      </c>
    </row>
    <row r="396" spans="1:14" x14ac:dyDescent="0.35">
      <c r="A396" s="1" t="s">
        <v>0</v>
      </c>
      <c r="B396" s="3" t="s">
        <v>3885</v>
      </c>
      <c r="C396" s="1" t="s">
        <v>4074</v>
      </c>
      <c r="D396" s="1" t="s">
        <v>10184</v>
      </c>
      <c r="E396" s="1" t="str">
        <f>"2340"</f>
        <v>2340</v>
      </c>
      <c r="F396" s="1" t="s">
        <v>278</v>
      </c>
      <c r="G396" s="1" t="s">
        <v>279</v>
      </c>
      <c r="H396" s="1" t="s">
        <v>15</v>
      </c>
      <c r="I396" s="3" t="str">
        <f>"1"</f>
        <v>1</v>
      </c>
      <c r="J396" s="3">
        <v>16937.47</v>
      </c>
      <c r="K396" s="2">
        <v>45888</v>
      </c>
      <c r="L396" s="2">
        <v>45889</v>
      </c>
      <c r="M396" s="1" t="s">
        <v>10181</v>
      </c>
      <c r="N396" s="1" t="s">
        <v>10180</v>
      </c>
    </row>
    <row r="397" spans="1:14" x14ac:dyDescent="0.35">
      <c r="A397" s="1" t="s">
        <v>0</v>
      </c>
      <c r="B397" s="3" t="s">
        <v>3885</v>
      </c>
      <c r="C397" s="1" t="s">
        <v>4074</v>
      </c>
      <c r="D397" s="1" t="s">
        <v>10183</v>
      </c>
      <c r="E397" s="1" t="str">
        <f>"2340"</f>
        <v>2340</v>
      </c>
      <c r="F397" s="1" t="s">
        <v>278</v>
      </c>
      <c r="G397" s="1" t="s">
        <v>279</v>
      </c>
      <c r="H397" s="1" t="s">
        <v>15</v>
      </c>
      <c r="I397" s="3" t="str">
        <f>"1"</f>
        <v>1</v>
      </c>
      <c r="J397" s="3">
        <v>9284.27</v>
      </c>
      <c r="K397" s="2">
        <v>45888</v>
      </c>
      <c r="L397" s="2">
        <v>45889</v>
      </c>
      <c r="M397" s="1" t="s">
        <v>10181</v>
      </c>
      <c r="N397" s="1" t="s">
        <v>10180</v>
      </c>
    </row>
    <row r="398" spans="1:14" x14ac:dyDescent="0.35">
      <c r="A398" s="1" t="s">
        <v>0</v>
      </c>
      <c r="B398" s="3" t="s">
        <v>3885</v>
      </c>
      <c r="C398" s="1" t="s">
        <v>4074</v>
      </c>
      <c r="D398" s="1" t="s">
        <v>10182</v>
      </c>
      <c r="E398" s="1" t="str">
        <f>"2340"</f>
        <v>2340</v>
      </c>
      <c r="F398" s="1" t="s">
        <v>278</v>
      </c>
      <c r="G398" s="1" t="s">
        <v>279</v>
      </c>
      <c r="H398" s="1" t="s">
        <v>15</v>
      </c>
      <c r="I398" s="3" t="str">
        <f>"1"</f>
        <v>1</v>
      </c>
      <c r="J398" s="3">
        <v>12315.66</v>
      </c>
      <c r="K398" s="2">
        <v>45888</v>
      </c>
      <c r="L398" s="2">
        <v>45889</v>
      </c>
      <c r="M398" s="1" t="s">
        <v>10181</v>
      </c>
      <c r="N398" s="1" t="s">
        <v>10180</v>
      </c>
    </row>
    <row r="399" spans="1:14" x14ac:dyDescent="0.35">
      <c r="A399" s="1" t="s">
        <v>0</v>
      </c>
      <c r="B399" s="3" t="s">
        <v>1857</v>
      </c>
      <c r="C399" s="1" t="s">
        <v>1869</v>
      </c>
      <c r="D399" s="1" t="s">
        <v>10179</v>
      </c>
      <c r="E399" s="1" t="str">
        <f>"2320"</f>
        <v>2320</v>
      </c>
      <c r="F399" s="1" t="s">
        <v>274</v>
      </c>
      <c r="G399" s="1" t="s">
        <v>275</v>
      </c>
      <c r="H399" s="1" t="s">
        <v>15</v>
      </c>
      <c r="I399" s="3" t="str">
        <f>"1"</f>
        <v>1</v>
      </c>
      <c r="J399" s="3" t="str">
        <f>"15000"</f>
        <v>15000</v>
      </c>
      <c r="K399" s="2">
        <v>45886</v>
      </c>
      <c r="L399" s="2">
        <v>45888</v>
      </c>
      <c r="M399" s="1" t="s">
        <v>10178</v>
      </c>
      <c r="N399" s="1" t="s">
        <v>10167</v>
      </c>
    </row>
    <row r="400" spans="1:14" x14ac:dyDescent="0.35">
      <c r="A400" s="1" t="s">
        <v>0</v>
      </c>
      <c r="B400" s="3" t="s">
        <v>1857</v>
      </c>
      <c r="C400" s="1" t="s">
        <v>1869</v>
      </c>
      <c r="D400" s="1" t="s">
        <v>10177</v>
      </c>
      <c r="E400" s="1" t="str">
        <f>"2330"</f>
        <v>2330</v>
      </c>
      <c r="F400" s="1" t="str">
        <f>"016131206"</f>
        <v>016131206</v>
      </c>
      <c r="G400" s="1" t="s">
        <v>2383</v>
      </c>
      <c r="H400" s="1" t="s">
        <v>15</v>
      </c>
      <c r="I400" s="3" t="str">
        <f>"1"</f>
        <v>1</v>
      </c>
      <c r="J400" s="3" t="str">
        <f>"35000"</f>
        <v>35000</v>
      </c>
      <c r="K400" s="2">
        <v>45886</v>
      </c>
      <c r="L400" s="2">
        <v>45888</v>
      </c>
      <c r="M400" s="1" t="s">
        <v>10176</v>
      </c>
      <c r="N400" s="1" t="s">
        <v>10167</v>
      </c>
    </row>
    <row r="401" spans="1:14" x14ac:dyDescent="0.35">
      <c r="A401" s="1" t="s">
        <v>0</v>
      </c>
      <c r="B401" s="3" t="s">
        <v>1857</v>
      </c>
      <c r="C401" s="1" t="s">
        <v>1869</v>
      </c>
      <c r="D401" s="1" t="s">
        <v>10175</v>
      </c>
      <c r="E401" s="1" t="str">
        <f>"5985"</f>
        <v>5985</v>
      </c>
      <c r="F401" s="1" t="str">
        <f>"013816341"</f>
        <v>013816341</v>
      </c>
      <c r="G401" s="1" t="s">
        <v>1649</v>
      </c>
      <c r="H401" s="1" t="s">
        <v>15</v>
      </c>
      <c r="I401" s="3" t="str">
        <f>"4"</f>
        <v>4</v>
      </c>
      <c r="J401" s="3">
        <v>6874.21</v>
      </c>
      <c r="K401" s="2">
        <v>45886</v>
      </c>
      <c r="L401" s="2">
        <v>45888</v>
      </c>
      <c r="M401" s="1" t="s">
        <v>10174</v>
      </c>
      <c r="N401" s="1" t="s">
        <v>10167</v>
      </c>
    </row>
    <row r="402" spans="1:14" x14ac:dyDescent="0.35">
      <c r="A402" s="1" t="s">
        <v>0</v>
      </c>
      <c r="B402" s="3" t="s">
        <v>1857</v>
      </c>
      <c r="C402" s="1" t="s">
        <v>1869</v>
      </c>
      <c r="D402" s="1" t="s">
        <v>10173</v>
      </c>
      <c r="E402" s="1" t="str">
        <f>"2330"</f>
        <v>2330</v>
      </c>
      <c r="F402" s="1" t="s">
        <v>70</v>
      </c>
      <c r="G402" s="1" t="s">
        <v>71</v>
      </c>
      <c r="H402" s="1" t="s">
        <v>15</v>
      </c>
      <c r="I402" s="3" t="str">
        <f>"1"</f>
        <v>1</v>
      </c>
      <c r="J402" s="3" t="str">
        <f>"54300"</f>
        <v>54300</v>
      </c>
      <c r="K402" s="2">
        <v>45886</v>
      </c>
      <c r="L402" s="2">
        <v>45888</v>
      </c>
      <c r="M402" s="1" t="s">
        <v>10172</v>
      </c>
      <c r="N402" s="1" t="s">
        <v>10167</v>
      </c>
    </row>
    <row r="403" spans="1:14" x14ac:dyDescent="0.35">
      <c r="A403" s="1" t="s">
        <v>0</v>
      </c>
      <c r="B403" s="3" t="s">
        <v>1857</v>
      </c>
      <c r="C403" s="1" t="s">
        <v>1869</v>
      </c>
      <c r="D403" s="1" t="s">
        <v>10171</v>
      </c>
      <c r="E403" s="1" t="str">
        <f>"2340"</f>
        <v>2340</v>
      </c>
      <c r="F403" s="1" t="s">
        <v>2003</v>
      </c>
      <c r="G403" s="1" t="s">
        <v>2004</v>
      </c>
      <c r="H403" s="1" t="s">
        <v>15</v>
      </c>
      <c r="I403" s="3" t="str">
        <f>"1"</f>
        <v>1</v>
      </c>
      <c r="J403" s="3" t="str">
        <f>"16000"</f>
        <v>16000</v>
      </c>
      <c r="K403" s="2">
        <v>45886</v>
      </c>
      <c r="L403" s="2">
        <v>45888</v>
      </c>
      <c r="M403" s="1" t="s">
        <v>10170</v>
      </c>
      <c r="N403" s="1" t="s">
        <v>10167</v>
      </c>
    </row>
    <row r="404" spans="1:14" x14ac:dyDescent="0.35">
      <c r="A404" s="1" t="s">
        <v>0</v>
      </c>
      <c r="B404" s="3" t="s">
        <v>1857</v>
      </c>
      <c r="C404" s="1" t="s">
        <v>1869</v>
      </c>
      <c r="D404" s="1" t="s">
        <v>10169</v>
      </c>
      <c r="E404" s="1" t="str">
        <f>"2340"</f>
        <v>2340</v>
      </c>
      <c r="F404" s="1" t="s">
        <v>2003</v>
      </c>
      <c r="G404" s="1" t="s">
        <v>2004</v>
      </c>
      <c r="H404" s="1" t="s">
        <v>15</v>
      </c>
      <c r="I404" s="3" t="str">
        <f>"1"</f>
        <v>1</v>
      </c>
      <c r="J404" s="3" t="str">
        <f>"15000"</f>
        <v>15000</v>
      </c>
      <c r="K404" s="2">
        <v>45886</v>
      </c>
      <c r="L404" s="2">
        <v>45888</v>
      </c>
      <c r="M404" s="1" t="s">
        <v>10168</v>
      </c>
      <c r="N404" s="1" t="s">
        <v>10167</v>
      </c>
    </row>
    <row r="405" spans="1:14" x14ac:dyDescent="0.35">
      <c r="A405" s="1" t="s">
        <v>0</v>
      </c>
      <c r="B405" s="3" t="s">
        <v>3183</v>
      </c>
      <c r="C405" s="1" t="s">
        <v>3435</v>
      </c>
      <c r="D405" s="1" t="s">
        <v>10166</v>
      </c>
      <c r="E405" s="1" t="str">
        <f>"2320"</f>
        <v>2320</v>
      </c>
      <c r="F405" s="1" t="s">
        <v>274</v>
      </c>
      <c r="G405" s="1" t="s">
        <v>275</v>
      </c>
      <c r="H405" s="1" t="s">
        <v>15</v>
      </c>
      <c r="I405" s="3" t="str">
        <f>"1"</f>
        <v>1</v>
      </c>
      <c r="J405" s="3" t="str">
        <f>"10302"</f>
        <v>10302</v>
      </c>
      <c r="K405" s="2">
        <v>45887</v>
      </c>
      <c r="L405" s="2">
        <v>45887</v>
      </c>
      <c r="M405" s="1" t="s">
        <v>10165</v>
      </c>
      <c r="N405" s="1" t="s">
        <v>9953</v>
      </c>
    </row>
    <row r="406" spans="1:14" x14ac:dyDescent="0.35">
      <c r="A406" s="1" t="s">
        <v>0</v>
      </c>
      <c r="B406" s="3" t="s">
        <v>3183</v>
      </c>
      <c r="C406" s="1" t="s">
        <v>3435</v>
      </c>
      <c r="D406" s="1" t="s">
        <v>10164</v>
      </c>
      <c r="E406" s="1" t="str">
        <f>"4210"</f>
        <v>4210</v>
      </c>
      <c r="F406" s="1" t="s">
        <v>3470</v>
      </c>
      <c r="G406" s="1" t="s">
        <v>3471</v>
      </c>
      <c r="H406" s="1" t="s">
        <v>15</v>
      </c>
      <c r="I406" s="3" t="str">
        <f>"1"</f>
        <v>1</v>
      </c>
      <c r="J406" s="3" t="str">
        <f>"183245"</f>
        <v>183245</v>
      </c>
      <c r="K406" s="2">
        <v>45887</v>
      </c>
      <c r="L406" s="2">
        <v>45887</v>
      </c>
      <c r="M406" s="1" t="s">
        <v>3472</v>
      </c>
      <c r="N406" s="1" t="s">
        <v>10163</v>
      </c>
    </row>
    <row r="407" spans="1:14" x14ac:dyDescent="0.35">
      <c r="A407" s="1" t="s">
        <v>0</v>
      </c>
      <c r="B407" s="3" t="s">
        <v>3183</v>
      </c>
      <c r="C407" s="1" t="s">
        <v>3241</v>
      </c>
      <c r="D407" s="1" t="s">
        <v>10162</v>
      </c>
      <c r="E407" s="1" t="str">
        <f>"2320"</f>
        <v>2320</v>
      </c>
      <c r="F407" s="1" t="str">
        <f>"005802954"</f>
        <v>005802954</v>
      </c>
      <c r="G407" s="1" t="s">
        <v>373</v>
      </c>
      <c r="H407" s="1" t="s">
        <v>15</v>
      </c>
      <c r="I407" s="3" t="str">
        <f>"1"</f>
        <v>1</v>
      </c>
      <c r="J407" s="3" t="str">
        <f>"29097"</f>
        <v>29097</v>
      </c>
      <c r="K407" s="2">
        <v>45886</v>
      </c>
      <c r="L407" s="2">
        <v>45887</v>
      </c>
      <c r="M407" s="1" t="s">
        <v>3247</v>
      </c>
      <c r="N407" s="1" t="s">
        <v>10161</v>
      </c>
    </row>
    <row r="408" spans="1:14" x14ac:dyDescent="0.35">
      <c r="A408" s="1" t="s">
        <v>0</v>
      </c>
      <c r="B408" s="3" t="s">
        <v>2494</v>
      </c>
      <c r="C408" s="1" t="s">
        <v>2584</v>
      </c>
      <c r="D408" s="1" t="s">
        <v>10160</v>
      </c>
      <c r="E408" s="1" t="str">
        <f>"2320"</f>
        <v>2320</v>
      </c>
      <c r="F408" s="1" t="s">
        <v>3361</v>
      </c>
      <c r="G408" s="1" t="s">
        <v>3362</v>
      </c>
      <c r="H408" s="1" t="s">
        <v>15</v>
      </c>
      <c r="I408" s="3" t="str">
        <f>"1"</f>
        <v>1</v>
      </c>
      <c r="J408" s="3" t="str">
        <f>"957600"</f>
        <v>957600</v>
      </c>
      <c r="K408" s="2">
        <v>45886</v>
      </c>
      <c r="L408" s="2">
        <v>45887</v>
      </c>
      <c r="M408" s="1" t="s">
        <v>6080</v>
      </c>
      <c r="N408" s="1" t="s">
        <v>10159</v>
      </c>
    </row>
    <row r="409" spans="1:14" x14ac:dyDescent="0.35">
      <c r="A409" s="1" t="s">
        <v>0</v>
      </c>
      <c r="B409" s="3" t="s">
        <v>3183</v>
      </c>
      <c r="C409" s="1" t="s">
        <v>3435</v>
      </c>
      <c r="D409" s="1" t="s">
        <v>10158</v>
      </c>
      <c r="E409" s="1" t="str">
        <f>"2320"</f>
        <v>2320</v>
      </c>
      <c r="F409" s="1" t="str">
        <f>"015731379"</f>
        <v>015731379</v>
      </c>
      <c r="G409" s="1" t="s">
        <v>10157</v>
      </c>
      <c r="H409" s="1" t="s">
        <v>15</v>
      </c>
      <c r="I409" s="3" t="str">
        <f>"1"</f>
        <v>1</v>
      </c>
      <c r="J409" s="3" t="str">
        <f>"12500"</f>
        <v>12500</v>
      </c>
      <c r="K409" s="2">
        <v>45885</v>
      </c>
      <c r="L409" s="2">
        <v>45887</v>
      </c>
      <c r="M409" s="1" t="s">
        <v>10156</v>
      </c>
      <c r="N409" s="1" t="s">
        <v>10155</v>
      </c>
    </row>
    <row r="410" spans="1:14" x14ac:dyDescent="0.35">
      <c r="A410" s="1" t="s">
        <v>0</v>
      </c>
      <c r="B410" s="3" t="s">
        <v>3183</v>
      </c>
      <c r="C410" s="1" t="s">
        <v>3435</v>
      </c>
      <c r="D410" s="1" t="s">
        <v>10154</v>
      </c>
      <c r="E410" s="1" t="str">
        <f>"2330"</f>
        <v>2330</v>
      </c>
      <c r="F410" s="1" t="s">
        <v>70</v>
      </c>
      <c r="G410" s="1" t="s">
        <v>71</v>
      </c>
      <c r="H410" s="1" t="s">
        <v>15</v>
      </c>
      <c r="I410" s="3" t="str">
        <f>"1"</f>
        <v>1</v>
      </c>
      <c r="J410" s="3" t="str">
        <f>"10500"</f>
        <v>10500</v>
      </c>
      <c r="K410" s="2">
        <v>45885</v>
      </c>
      <c r="L410" s="2">
        <v>45887</v>
      </c>
      <c r="M410" s="1" t="s">
        <v>10153</v>
      </c>
      <c r="N410" s="1" t="s">
        <v>9953</v>
      </c>
    </row>
    <row r="411" spans="1:14" x14ac:dyDescent="0.35">
      <c r="A411" s="1" t="s">
        <v>0</v>
      </c>
      <c r="B411" s="3" t="s">
        <v>3183</v>
      </c>
      <c r="C411" s="1" t="s">
        <v>3435</v>
      </c>
      <c r="D411" s="1" t="s">
        <v>10152</v>
      </c>
      <c r="E411" s="1" t="str">
        <f>"2320"</f>
        <v>2320</v>
      </c>
      <c r="F411" s="1" t="s">
        <v>274</v>
      </c>
      <c r="G411" s="1" t="s">
        <v>275</v>
      </c>
      <c r="H411" s="1" t="s">
        <v>15</v>
      </c>
      <c r="I411" s="3" t="str">
        <f>"1"</f>
        <v>1</v>
      </c>
      <c r="J411" s="3" t="str">
        <f>"15000"</f>
        <v>15000</v>
      </c>
      <c r="K411" s="2">
        <v>45885</v>
      </c>
      <c r="L411" s="2">
        <v>45887</v>
      </c>
      <c r="M411" s="1" t="s">
        <v>10151</v>
      </c>
      <c r="N411" s="1" t="s">
        <v>10150</v>
      </c>
    </row>
    <row r="412" spans="1:14" x14ac:dyDescent="0.35">
      <c r="A412" s="1" t="s">
        <v>0</v>
      </c>
      <c r="B412" s="3" t="s">
        <v>3183</v>
      </c>
      <c r="C412" s="1" t="s">
        <v>3435</v>
      </c>
      <c r="D412" s="1" t="s">
        <v>10149</v>
      </c>
      <c r="E412" s="1" t="str">
        <f>"2330"</f>
        <v>2330</v>
      </c>
      <c r="F412" s="1" t="str">
        <f>"016131206"</f>
        <v>016131206</v>
      </c>
      <c r="G412" s="1" t="s">
        <v>2383</v>
      </c>
      <c r="H412" s="1" t="s">
        <v>15</v>
      </c>
      <c r="I412" s="3" t="str">
        <f>"1"</f>
        <v>1</v>
      </c>
      <c r="J412" s="3" t="str">
        <f>"35000"</f>
        <v>35000</v>
      </c>
      <c r="K412" s="2">
        <v>45885</v>
      </c>
      <c r="L412" s="2">
        <v>45887</v>
      </c>
      <c r="M412" s="1" t="s">
        <v>10148</v>
      </c>
      <c r="N412" s="1" t="s">
        <v>10147</v>
      </c>
    </row>
    <row r="413" spans="1:14" x14ac:dyDescent="0.35">
      <c r="A413" s="1" t="s">
        <v>0</v>
      </c>
      <c r="B413" s="3" t="s">
        <v>3183</v>
      </c>
      <c r="C413" s="1" t="s">
        <v>3435</v>
      </c>
      <c r="D413" s="1" t="s">
        <v>10146</v>
      </c>
      <c r="E413" s="1" t="str">
        <f>"2340"</f>
        <v>2340</v>
      </c>
      <c r="F413" s="1" t="s">
        <v>439</v>
      </c>
      <c r="G413" s="1" t="s">
        <v>440</v>
      </c>
      <c r="H413" s="1" t="s">
        <v>15</v>
      </c>
      <c r="I413" s="3" t="str">
        <f>"1"</f>
        <v>1</v>
      </c>
      <c r="J413" s="3" t="str">
        <f>"10633"</f>
        <v>10633</v>
      </c>
      <c r="K413" s="2">
        <v>45885</v>
      </c>
      <c r="L413" s="2">
        <v>45887</v>
      </c>
      <c r="M413" s="1" t="s">
        <v>10145</v>
      </c>
      <c r="N413" s="1" t="s">
        <v>10144</v>
      </c>
    </row>
    <row r="414" spans="1:14" x14ac:dyDescent="0.35">
      <c r="A414" s="1" t="s">
        <v>0</v>
      </c>
      <c r="B414" s="3" t="s">
        <v>3183</v>
      </c>
      <c r="C414" s="1" t="s">
        <v>3435</v>
      </c>
      <c r="D414" s="1" t="s">
        <v>10143</v>
      </c>
      <c r="E414" s="1" t="str">
        <f>"2340"</f>
        <v>2340</v>
      </c>
      <c r="F414" s="1" t="s">
        <v>439</v>
      </c>
      <c r="G414" s="1" t="s">
        <v>440</v>
      </c>
      <c r="H414" s="1" t="s">
        <v>15</v>
      </c>
      <c r="I414" s="3" t="str">
        <f>"1"</f>
        <v>1</v>
      </c>
      <c r="J414" s="3" t="str">
        <f>"10633"</f>
        <v>10633</v>
      </c>
      <c r="K414" s="2">
        <v>45885</v>
      </c>
      <c r="L414" s="2">
        <v>45887</v>
      </c>
      <c r="M414" s="1" t="s">
        <v>10142</v>
      </c>
      <c r="N414" s="1" t="s">
        <v>10141</v>
      </c>
    </row>
    <row r="415" spans="1:14" x14ac:dyDescent="0.35">
      <c r="A415" s="1" t="s">
        <v>0</v>
      </c>
      <c r="B415" s="3" t="s">
        <v>3105</v>
      </c>
      <c r="C415" s="1" t="s">
        <v>3129</v>
      </c>
      <c r="D415" s="1" t="s">
        <v>10140</v>
      </c>
      <c r="E415" s="1" t="str">
        <f>"2340"</f>
        <v>2340</v>
      </c>
      <c r="F415" s="1" t="s">
        <v>647</v>
      </c>
      <c r="G415" s="1" t="s">
        <v>648</v>
      </c>
      <c r="H415" s="1" t="s">
        <v>15</v>
      </c>
      <c r="I415" s="3" t="str">
        <f>"1"</f>
        <v>1</v>
      </c>
      <c r="J415" s="3" t="str">
        <f>"14918"</f>
        <v>14918</v>
      </c>
      <c r="K415" s="2">
        <v>45880</v>
      </c>
      <c r="L415" s="2">
        <v>45887</v>
      </c>
      <c r="M415" s="1" t="s">
        <v>7366</v>
      </c>
      <c r="N415" s="1" t="s">
        <v>10023</v>
      </c>
    </row>
    <row r="416" spans="1:14" x14ac:dyDescent="0.35">
      <c r="A416" s="1" t="s">
        <v>0</v>
      </c>
      <c r="B416" s="3" t="s">
        <v>3105</v>
      </c>
      <c r="C416" s="1" t="s">
        <v>3141</v>
      </c>
      <c r="D416" s="1" t="s">
        <v>10139</v>
      </c>
      <c r="E416" s="1" t="str">
        <f>"2320"</f>
        <v>2320</v>
      </c>
      <c r="F416" s="1" t="str">
        <f>"015629341"</f>
        <v>015629341</v>
      </c>
      <c r="G416" s="1" t="s">
        <v>604</v>
      </c>
      <c r="H416" s="1" t="s">
        <v>15</v>
      </c>
      <c r="I416" s="3" t="str">
        <f>"1"</f>
        <v>1</v>
      </c>
      <c r="J416" s="3" t="str">
        <f>"321959"</f>
        <v>321959</v>
      </c>
      <c r="K416" s="2">
        <v>45883</v>
      </c>
      <c r="L416" s="2">
        <v>45884</v>
      </c>
      <c r="M416" s="1" t="s">
        <v>10138</v>
      </c>
      <c r="N416" s="1" t="s">
        <v>10137</v>
      </c>
    </row>
    <row r="417" spans="1:14" x14ac:dyDescent="0.35">
      <c r="A417" s="1" t="s">
        <v>0</v>
      </c>
      <c r="B417" s="3" t="s">
        <v>2000</v>
      </c>
      <c r="C417" s="1" t="s">
        <v>2035</v>
      </c>
      <c r="D417" s="1" t="s">
        <v>10136</v>
      </c>
      <c r="E417" s="1" t="str">
        <f>"2320"</f>
        <v>2320</v>
      </c>
      <c r="F417" s="1" t="str">
        <f>"012802063"</f>
        <v>012802063</v>
      </c>
      <c r="G417" s="1" t="s">
        <v>114</v>
      </c>
      <c r="H417" s="1" t="s">
        <v>15</v>
      </c>
      <c r="I417" s="3" t="str">
        <f>"1"</f>
        <v>1</v>
      </c>
      <c r="J417" s="3" t="str">
        <f>"38530"</f>
        <v>38530</v>
      </c>
      <c r="K417" s="2">
        <v>45880</v>
      </c>
      <c r="L417" s="2">
        <v>45884</v>
      </c>
      <c r="M417" s="1" t="s">
        <v>10135</v>
      </c>
      <c r="N417" s="1" t="s">
        <v>10134</v>
      </c>
    </row>
    <row r="418" spans="1:14" x14ac:dyDescent="0.35">
      <c r="A418" s="1" t="s">
        <v>0</v>
      </c>
      <c r="B418" s="3" t="s">
        <v>4087</v>
      </c>
      <c r="C418" s="1" t="s">
        <v>4238</v>
      </c>
      <c r="D418" s="1" t="s">
        <v>10133</v>
      </c>
      <c r="E418" s="1" t="str">
        <f>"2610"</f>
        <v>2610</v>
      </c>
      <c r="F418" s="1" t="str">
        <f>"015592516"</f>
        <v>015592516</v>
      </c>
      <c r="G418" s="1" t="s">
        <v>1329</v>
      </c>
      <c r="H418" s="1" t="s">
        <v>15</v>
      </c>
      <c r="I418" s="3" t="str">
        <f>"24"</f>
        <v>24</v>
      </c>
      <c r="J418" s="3">
        <v>1613.48</v>
      </c>
      <c r="K418" s="2">
        <v>45881</v>
      </c>
      <c r="L418" s="2">
        <v>45882</v>
      </c>
      <c r="M418" s="1" t="s">
        <v>10132</v>
      </c>
      <c r="N418" s="1" t="s">
        <v>10131</v>
      </c>
    </row>
    <row r="419" spans="1:14" x14ac:dyDescent="0.35">
      <c r="A419" s="1" t="s">
        <v>0</v>
      </c>
      <c r="B419" s="3" t="s">
        <v>3183</v>
      </c>
      <c r="C419" s="1" t="s">
        <v>3241</v>
      </c>
      <c r="D419" s="1" t="s">
        <v>10130</v>
      </c>
      <c r="E419" s="1" t="str">
        <f>"2340"</f>
        <v>2340</v>
      </c>
      <c r="F419" s="1" t="s">
        <v>439</v>
      </c>
      <c r="G419" s="1" t="s">
        <v>440</v>
      </c>
      <c r="H419" s="1" t="s">
        <v>15</v>
      </c>
      <c r="I419" s="3" t="str">
        <f>"1"</f>
        <v>1</v>
      </c>
      <c r="J419" s="3" t="str">
        <f>"10899"</f>
        <v>10899</v>
      </c>
      <c r="K419" s="2">
        <v>45880</v>
      </c>
      <c r="L419" s="2">
        <v>45881</v>
      </c>
      <c r="M419" s="1" t="s">
        <v>10129</v>
      </c>
      <c r="N419" s="1" t="s">
        <v>10128</v>
      </c>
    </row>
    <row r="420" spans="1:14" x14ac:dyDescent="0.35">
      <c r="A420" s="1" t="s">
        <v>0</v>
      </c>
      <c r="B420" s="3" t="s">
        <v>3183</v>
      </c>
      <c r="C420" s="1" t="s">
        <v>3184</v>
      </c>
      <c r="D420" s="1" t="s">
        <v>10127</v>
      </c>
      <c r="E420" s="1" t="str">
        <f>"2340"</f>
        <v>2340</v>
      </c>
      <c r="F420" s="1" t="s">
        <v>647</v>
      </c>
      <c r="G420" s="1" t="s">
        <v>648</v>
      </c>
      <c r="H420" s="1" t="s">
        <v>15</v>
      </c>
      <c r="I420" s="3" t="str">
        <f>"5"</f>
        <v>5</v>
      </c>
      <c r="J420" s="3">
        <v>23418.93</v>
      </c>
      <c r="K420" s="2">
        <v>45878</v>
      </c>
      <c r="L420" s="2">
        <v>45880</v>
      </c>
      <c r="M420" s="1" t="s">
        <v>10126</v>
      </c>
      <c r="N420" s="1" t="s">
        <v>10125</v>
      </c>
    </row>
    <row r="421" spans="1:14" x14ac:dyDescent="0.35">
      <c r="A421" s="1" t="s">
        <v>0</v>
      </c>
      <c r="B421" s="3" t="s">
        <v>3513</v>
      </c>
      <c r="C421" s="1" t="s">
        <v>3801</v>
      </c>
      <c r="D421" s="1" t="s">
        <v>10124</v>
      </c>
      <c r="E421" s="1" t="str">
        <f>"7035"</f>
        <v>7035</v>
      </c>
      <c r="F421" s="1" t="s">
        <v>3836</v>
      </c>
      <c r="G421" s="1" t="s">
        <v>3837</v>
      </c>
      <c r="H421" s="1" t="s">
        <v>15</v>
      </c>
      <c r="I421" s="3" t="str">
        <f>"5"</f>
        <v>5</v>
      </c>
      <c r="J421" s="3" t="str">
        <f>"100"</f>
        <v>100</v>
      </c>
      <c r="K421" s="2">
        <v>45878</v>
      </c>
      <c r="L421" s="2">
        <v>45880</v>
      </c>
      <c r="M421" s="1" t="s">
        <v>10123</v>
      </c>
      <c r="N421" s="1" t="s">
        <v>10122</v>
      </c>
    </row>
    <row r="422" spans="1:14" x14ac:dyDescent="0.35">
      <c r="A422" s="1" t="s">
        <v>0</v>
      </c>
      <c r="B422" s="3" t="s">
        <v>3513</v>
      </c>
      <c r="C422" s="1" t="s">
        <v>3801</v>
      </c>
      <c r="D422" s="1" t="s">
        <v>10121</v>
      </c>
      <c r="E422" s="1" t="str">
        <f>"5920"</f>
        <v>5920</v>
      </c>
      <c r="F422" s="1" t="s">
        <v>3815</v>
      </c>
      <c r="G422" s="1" t="s">
        <v>3816</v>
      </c>
      <c r="H422" s="1" t="s">
        <v>15</v>
      </c>
      <c r="I422" s="3" t="str">
        <f>"2"</f>
        <v>2</v>
      </c>
      <c r="J422" s="3">
        <v>241.89</v>
      </c>
      <c r="K422" s="2">
        <v>45878</v>
      </c>
      <c r="L422" s="2">
        <v>45880</v>
      </c>
      <c r="M422" s="1" t="s">
        <v>10120</v>
      </c>
      <c r="N422" s="1" t="s">
        <v>10119</v>
      </c>
    </row>
    <row r="423" spans="1:14" x14ac:dyDescent="0.35">
      <c r="A423" s="1" t="s">
        <v>0</v>
      </c>
      <c r="B423" s="3" t="s">
        <v>3183</v>
      </c>
      <c r="C423" s="1" t="s">
        <v>3487</v>
      </c>
      <c r="D423" s="1" t="s">
        <v>10118</v>
      </c>
      <c r="E423" s="1" t="str">
        <f>"2320"</f>
        <v>2320</v>
      </c>
      <c r="F423" s="1" t="str">
        <f>"010907892"</f>
        <v>010907892</v>
      </c>
      <c r="G423" s="1" t="s">
        <v>373</v>
      </c>
      <c r="H423" s="1" t="s">
        <v>15</v>
      </c>
      <c r="I423" s="3" t="str">
        <f>"1"</f>
        <v>1</v>
      </c>
      <c r="J423" s="3" t="str">
        <f>"23000"</f>
        <v>23000</v>
      </c>
      <c r="K423" s="2">
        <v>45878</v>
      </c>
      <c r="L423" s="2">
        <v>45880</v>
      </c>
      <c r="M423" s="1" t="s">
        <v>10117</v>
      </c>
      <c r="N423" s="1" t="s">
        <v>10116</v>
      </c>
    </row>
    <row r="424" spans="1:14" x14ac:dyDescent="0.35">
      <c r="A424" s="1" t="s">
        <v>0</v>
      </c>
      <c r="B424" s="3" t="s">
        <v>3513</v>
      </c>
      <c r="C424" s="1" t="s">
        <v>6178</v>
      </c>
      <c r="D424" s="1" t="s">
        <v>10115</v>
      </c>
      <c r="E424" s="1" t="str">
        <f>"2330"</f>
        <v>2330</v>
      </c>
      <c r="F424" s="1" t="s">
        <v>70</v>
      </c>
      <c r="G424" s="1" t="s">
        <v>71</v>
      </c>
      <c r="H424" s="1" t="s">
        <v>15</v>
      </c>
      <c r="I424" s="3" t="str">
        <f>"1"</f>
        <v>1</v>
      </c>
      <c r="J424" s="3">
        <v>25020.38</v>
      </c>
      <c r="K424" s="2">
        <v>45877</v>
      </c>
      <c r="L424" s="2">
        <v>45880</v>
      </c>
      <c r="M424" s="1" t="s">
        <v>10114</v>
      </c>
      <c r="N424" s="1" t="s">
        <v>10113</v>
      </c>
    </row>
    <row r="425" spans="1:14" x14ac:dyDescent="0.35">
      <c r="A425" s="1" t="s">
        <v>0</v>
      </c>
      <c r="B425" s="3" t="s">
        <v>3513</v>
      </c>
      <c r="C425" s="1" t="s">
        <v>3839</v>
      </c>
      <c r="D425" s="1" t="s">
        <v>10112</v>
      </c>
      <c r="E425" s="1" t="str">
        <f>"6545"</f>
        <v>6545</v>
      </c>
      <c r="F425" s="1" t="str">
        <f>"015392732"</f>
        <v>015392732</v>
      </c>
      <c r="G425" s="1" t="s">
        <v>1046</v>
      </c>
      <c r="H425" s="1" t="s">
        <v>19</v>
      </c>
      <c r="I425" s="3" t="str">
        <f>"13"</f>
        <v>13</v>
      </c>
      <c r="J425" s="3">
        <v>562.78</v>
      </c>
      <c r="K425" s="2">
        <v>45877</v>
      </c>
      <c r="L425" s="2">
        <v>45880</v>
      </c>
      <c r="M425" s="1" t="s">
        <v>10111</v>
      </c>
      <c r="N425" s="1" t="s">
        <v>10108</v>
      </c>
    </row>
    <row r="426" spans="1:14" x14ac:dyDescent="0.35">
      <c r="A426" s="1" t="s">
        <v>0</v>
      </c>
      <c r="B426" s="3" t="s">
        <v>3513</v>
      </c>
      <c r="C426" s="1" t="s">
        <v>3839</v>
      </c>
      <c r="D426" s="1" t="s">
        <v>10110</v>
      </c>
      <c r="E426" s="1" t="str">
        <f>"6720"</f>
        <v>6720</v>
      </c>
      <c r="F426" s="1" t="s">
        <v>443</v>
      </c>
      <c r="G426" s="1" t="s">
        <v>444</v>
      </c>
      <c r="H426" s="1" t="s">
        <v>15</v>
      </c>
      <c r="I426" s="3" t="str">
        <f>"4"</f>
        <v>4</v>
      </c>
      <c r="J426" s="3" t="str">
        <f>"3300"</f>
        <v>3300</v>
      </c>
      <c r="K426" s="2">
        <v>45877</v>
      </c>
      <c r="L426" s="2">
        <v>45880</v>
      </c>
      <c r="M426" s="1" t="s">
        <v>10109</v>
      </c>
      <c r="N426" s="1" t="s">
        <v>10108</v>
      </c>
    </row>
    <row r="427" spans="1:14" x14ac:dyDescent="0.35">
      <c r="A427" s="1" t="s">
        <v>0</v>
      </c>
      <c r="B427" s="3" t="s">
        <v>2494</v>
      </c>
      <c r="C427" s="1" t="s">
        <v>2600</v>
      </c>
      <c r="D427" s="1" t="s">
        <v>10107</v>
      </c>
      <c r="E427" s="1" t="str">
        <f>"2330"</f>
        <v>2330</v>
      </c>
      <c r="F427" s="1" t="s">
        <v>70</v>
      </c>
      <c r="G427" s="1" t="s">
        <v>71</v>
      </c>
      <c r="H427" s="1" t="s">
        <v>15</v>
      </c>
      <c r="I427" s="3" t="str">
        <f>"1"</f>
        <v>1</v>
      </c>
      <c r="J427" s="3" t="str">
        <f>"5000"</f>
        <v>5000</v>
      </c>
      <c r="K427" s="2">
        <v>45876</v>
      </c>
      <c r="L427" s="2">
        <v>45877</v>
      </c>
      <c r="M427" s="1" t="s">
        <v>10106</v>
      </c>
      <c r="N427" s="1" t="s">
        <v>10105</v>
      </c>
    </row>
    <row r="428" spans="1:14" x14ac:dyDescent="0.35">
      <c r="A428" s="1" t="s">
        <v>0</v>
      </c>
      <c r="B428" s="3" t="s">
        <v>2000</v>
      </c>
      <c r="C428" s="1" t="s">
        <v>2078</v>
      </c>
      <c r="D428" s="1" t="s">
        <v>10104</v>
      </c>
      <c r="E428" s="1" t="str">
        <f>"1550"</f>
        <v>1550</v>
      </c>
      <c r="F428" s="1" t="str">
        <f>"016215533"</f>
        <v>016215533</v>
      </c>
      <c r="G428" s="1" t="s">
        <v>2334</v>
      </c>
      <c r="H428" s="1" t="s">
        <v>15</v>
      </c>
      <c r="I428" s="3" t="str">
        <f>"2"</f>
        <v>2</v>
      </c>
      <c r="J428" s="3" t="str">
        <f>"168000"</f>
        <v>168000</v>
      </c>
      <c r="K428" s="2">
        <v>45875</v>
      </c>
      <c r="L428" s="2">
        <v>45876</v>
      </c>
      <c r="M428" s="1" t="s">
        <v>10103</v>
      </c>
      <c r="N428" s="1" t="s">
        <v>10102</v>
      </c>
    </row>
    <row r="429" spans="1:14" x14ac:dyDescent="0.35">
      <c r="A429" s="1" t="s">
        <v>0</v>
      </c>
      <c r="B429" s="3" t="s">
        <v>3183</v>
      </c>
      <c r="C429" s="1" t="s">
        <v>3490</v>
      </c>
      <c r="D429" s="1" t="s">
        <v>10101</v>
      </c>
      <c r="E429" s="1" t="str">
        <f>"2420"</f>
        <v>2420</v>
      </c>
      <c r="F429" s="1" t="s">
        <v>405</v>
      </c>
      <c r="G429" s="1" t="s">
        <v>406</v>
      </c>
      <c r="H429" s="1" t="s">
        <v>15</v>
      </c>
      <c r="I429" s="3" t="str">
        <f>"1"</f>
        <v>1</v>
      </c>
      <c r="J429" s="3" t="str">
        <f>"8000"</f>
        <v>8000</v>
      </c>
      <c r="K429" s="2">
        <v>45873</v>
      </c>
      <c r="L429" s="2">
        <v>45873</v>
      </c>
      <c r="M429" s="1" t="s">
        <v>10100</v>
      </c>
      <c r="N429" s="1" t="s">
        <v>10099</v>
      </c>
    </row>
    <row r="430" spans="1:14" x14ac:dyDescent="0.35">
      <c r="A430" s="1" t="s">
        <v>0</v>
      </c>
      <c r="B430" s="3" t="s">
        <v>93</v>
      </c>
      <c r="C430" s="1" t="s">
        <v>6190</v>
      </c>
      <c r="D430" s="1" t="s">
        <v>10098</v>
      </c>
      <c r="E430" s="1" t="str">
        <f>"5855"</f>
        <v>5855</v>
      </c>
      <c r="F430" s="1" t="str">
        <f>"014684169"</f>
        <v>014684169</v>
      </c>
      <c r="G430" s="1" t="s">
        <v>1931</v>
      </c>
      <c r="H430" s="1" t="s">
        <v>15</v>
      </c>
      <c r="I430" s="3" t="str">
        <f>"8"</f>
        <v>8</v>
      </c>
      <c r="J430" s="3">
        <v>918.54</v>
      </c>
      <c r="K430" s="2">
        <v>45873</v>
      </c>
      <c r="L430" s="2">
        <v>45873</v>
      </c>
      <c r="M430" s="1" t="s">
        <v>10097</v>
      </c>
      <c r="N430" s="1" t="s">
        <v>10086</v>
      </c>
    </row>
    <row r="431" spans="1:14" x14ac:dyDescent="0.35">
      <c r="A431" s="1" t="s">
        <v>0</v>
      </c>
      <c r="B431" s="3" t="s">
        <v>93</v>
      </c>
      <c r="C431" s="1" t="s">
        <v>109</v>
      </c>
      <c r="D431" s="1" t="s">
        <v>10096</v>
      </c>
      <c r="E431" s="1" t="str">
        <f>"5855"</f>
        <v>5855</v>
      </c>
      <c r="F431" s="1" t="str">
        <f>"016085809"</f>
        <v>016085809</v>
      </c>
      <c r="G431" s="1" t="s">
        <v>10064</v>
      </c>
      <c r="H431" s="1" t="s">
        <v>19</v>
      </c>
      <c r="I431" s="3" t="str">
        <f>"1"</f>
        <v>1</v>
      </c>
      <c r="J431" s="3" t="str">
        <f>"8979"</f>
        <v>8979</v>
      </c>
      <c r="K431" s="2">
        <v>45871</v>
      </c>
      <c r="L431" s="2">
        <v>45873</v>
      </c>
      <c r="M431" s="1" t="s">
        <v>10095</v>
      </c>
      <c r="N431" s="1" t="s">
        <v>10086</v>
      </c>
    </row>
    <row r="432" spans="1:14" x14ac:dyDescent="0.35">
      <c r="A432" s="1" t="s">
        <v>0</v>
      </c>
      <c r="B432" s="3" t="s">
        <v>93</v>
      </c>
      <c r="C432" s="1" t="s">
        <v>109</v>
      </c>
      <c r="D432" s="1" t="s">
        <v>10094</v>
      </c>
      <c r="E432" s="1" t="str">
        <f>"1240"</f>
        <v>1240</v>
      </c>
      <c r="F432" s="1" t="str">
        <f>"009303833"</f>
        <v>009303833</v>
      </c>
      <c r="G432" s="1" t="s">
        <v>868</v>
      </c>
      <c r="H432" s="1" t="s">
        <v>15</v>
      </c>
      <c r="I432" s="3" t="str">
        <f>"2"</f>
        <v>2</v>
      </c>
      <c r="J432" s="3">
        <v>278.05</v>
      </c>
      <c r="K432" s="2">
        <v>45871</v>
      </c>
      <c r="L432" s="2">
        <v>45873</v>
      </c>
      <c r="M432" s="1" t="s">
        <v>10093</v>
      </c>
      <c r="N432" s="1" t="s">
        <v>10086</v>
      </c>
    </row>
    <row r="433" spans="1:14" x14ac:dyDescent="0.35">
      <c r="A433" s="1" t="s">
        <v>0</v>
      </c>
      <c r="B433" s="3" t="s">
        <v>93</v>
      </c>
      <c r="C433" s="1" t="s">
        <v>109</v>
      </c>
      <c r="D433" s="1" t="s">
        <v>10092</v>
      </c>
      <c r="E433" s="1" t="str">
        <f>"5855"</f>
        <v>5855</v>
      </c>
      <c r="F433" s="1" t="s">
        <v>8725</v>
      </c>
      <c r="G433" s="1" t="s">
        <v>8724</v>
      </c>
      <c r="H433" s="1" t="s">
        <v>15</v>
      </c>
      <c r="I433" s="3" t="str">
        <f>"1"</f>
        <v>1</v>
      </c>
      <c r="J433" s="3" t="str">
        <f>"7580"</f>
        <v>7580</v>
      </c>
      <c r="K433" s="2">
        <v>45871</v>
      </c>
      <c r="L433" s="2">
        <v>45873</v>
      </c>
      <c r="M433" s="1" t="s">
        <v>10091</v>
      </c>
      <c r="N433" s="1" t="s">
        <v>10086</v>
      </c>
    </row>
    <row r="434" spans="1:14" x14ac:dyDescent="0.35">
      <c r="A434" s="1" t="s">
        <v>0</v>
      </c>
      <c r="B434" s="3" t="s">
        <v>93</v>
      </c>
      <c r="C434" s="1" t="s">
        <v>109</v>
      </c>
      <c r="D434" s="1" t="s">
        <v>10090</v>
      </c>
      <c r="E434" s="1" t="str">
        <f>"6650"</f>
        <v>6650</v>
      </c>
      <c r="F434" s="1" t="str">
        <f>"014762358"</f>
        <v>014762358</v>
      </c>
      <c r="G434" s="1" t="s">
        <v>868</v>
      </c>
      <c r="H434" s="1" t="s">
        <v>15</v>
      </c>
      <c r="I434" s="3" t="str">
        <f>"1"</f>
        <v>1</v>
      </c>
      <c r="J434" s="3">
        <v>548.95000000000005</v>
      </c>
      <c r="K434" s="2">
        <v>45871</v>
      </c>
      <c r="L434" s="2">
        <v>45873</v>
      </c>
      <c r="M434" s="1" t="s">
        <v>10089</v>
      </c>
      <c r="N434" s="1" t="s">
        <v>10086</v>
      </c>
    </row>
    <row r="435" spans="1:14" x14ac:dyDescent="0.35">
      <c r="A435" s="1" t="s">
        <v>0</v>
      </c>
      <c r="B435" s="3" t="s">
        <v>93</v>
      </c>
      <c r="C435" s="1" t="s">
        <v>109</v>
      </c>
      <c r="D435" s="1" t="s">
        <v>10088</v>
      </c>
      <c r="E435" s="1" t="str">
        <f>"6650"</f>
        <v>6650</v>
      </c>
      <c r="F435" s="1" t="str">
        <f>"014762358"</f>
        <v>014762358</v>
      </c>
      <c r="G435" s="1" t="s">
        <v>868</v>
      </c>
      <c r="H435" s="1" t="s">
        <v>15</v>
      </c>
      <c r="I435" s="3" t="str">
        <f>"1"</f>
        <v>1</v>
      </c>
      <c r="J435" s="3">
        <v>548.95000000000005</v>
      </c>
      <c r="K435" s="2">
        <v>45871</v>
      </c>
      <c r="L435" s="2">
        <v>45873</v>
      </c>
      <c r="M435" s="1" t="s">
        <v>10087</v>
      </c>
      <c r="N435" s="1" t="s">
        <v>10086</v>
      </c>
    </row>
    <row r="436" spans="1:14" x14ac:dyDescent="0.35">
      <c r="A436" s="1" t="s">
        <v>0</v>
      </c>
      <c r="B436" s="3" t="s">
        <v>1857</v>
      </c>
      <c r="C436" s="1" t="s">
        <v>1869</v>
      </c>
      <c r="D436" s="1" t="s">
        <v>10085</v>
      </c>
      <c r="E436" s="1" t="str">
        <f>"6730"</f>
        <v>6730</v>
      </c>
      <c r="F436" s="1" t="s">
        <v>1761</v>
      </c>
      <c r="G436" s="1" t="s">
        <v>1762</v>
      </c>
      <c r="H436" s="1" t="s">
        <v>15</v>
      </c>
      <c r="I436" s="3" t="str">
        <f>"4"</f>
        <v>4</v>
      </c>
      <c r="J436" s="3">
        <v>14393.75</v>
      </c>
      <c r="K436" s="2">
        <v>45871</v>
      </c>
      <c r="L436" s="2">
        <v>45873</v>
      </c>
      <c r="M436" s="1" t="s">
        <v>5851</v>
      </c>
      <c r="N436" s="1" t="s">
        <v>10084</v>
      </c>
    </row>
    <row r="437" spans="1:14" x14ac:dyDescent="0.35">
      <c r="A437" s="1" t="s">
        <v>0</v>
      </c>
      <c r="B437" s="3" t="s">
        <v>1699</v>
      </c>
      <c r="C437" s="1" t="s">
        <v>1750</v>
      </c>
      <c r="D437" s="1" t="s">
        <v>10083</v>
      </c>
      <c r="E437" s="1" t="str">
        <f>"5930"</f>
        <v>5930</v>
      </c>
      <c r="F437" s="1" t="str">
        <f>"015625908"</f>
        <v>015625908</v>
      </c>
      <c r="G437" s="1" t="s">
        <v>10073</v>
      </c>
      <c r="H437" s="1" t="s">
        <v>15</v>
      </c>
      <c r="I437" s="3" t="str">
        <f>"19"</f>
        <v>19</v>
      </c>
      <c r="J437" s="3">
        <v>140.13</v>
      </c>
      <c r="K437" s="2">
        <v>45870</v>
      </c>
      <c r="L437" s="2">
        <v>45873</v>
      </c>
      <c r="M437" s="1" t="s">
        <v>10082</v>
      </c>
    </row>
    <row r="438" spans="1:14" x14ac:dyDescent="0.35">
      <c r="A438" s="1" t="s">
        <v>0</v>
      </c>
      <c r="B438" s="3" t="s">
        <v>3105</v>
      </c>
      <c r="C438" s="1" t="s">
        <v>3114</v>
      </c>
      <c r="D438" s="1" t="s">
        <v>10081</v>
      </c>
      <c r="E438" s="1" t="str">
        <f>"2320"</f>
        <v>2320</v>
      </c>
      <c r="F438" s="1" t="s">
        <v>3361</v>
      </c>
      <c r="G438" s="1" t="s">
        <v>3362</v>
      </c>
      <c r="H438" s="1" t="s">
        <v>15</v>
      </c>
      <c r="I438" s="3" t="str">
        <f>"1"</f>
        <v>1</v>
      </c>
      <c r="J438" s="3" t="str">
        <f>"876918"</f>
        <v>876918</v>
      </c>
      <c r="K438" s="2">
        <v>45869</v>
      </c>
      <c r="L438" s="2">
        <v>45873</v>
      </c>
      <c r="M438" s="1" t="s">
        <v>10080</v>
      </c>
      <c r="N438" s="1" t="s">
        <v>10023</v>
      </c>
    </row>
    <row r="439" spans="1:14" x14ac:dyDescent="0.35">
      <c r="A439" s="1" t="s">
        <v>0</v>
      </c>
      <c r="B439" s="3" t="s">
        <v>3105</v>
      </c>
      <c r="C439" s="1" t="s">
        <v>5808</v>
      </c>
      <c r="D439" s="1" t="s">
        <v>10079</v>
      </c>
      <c r="E439" s="1" t="str">
        <f>"8465"</f>
        <v>8465</v>
      </c>
      <c r="F439" s="1" t="str">
        <f>"016036613"</f>
        <v>016036613</v>
      </c>
      <c r="G439" s="1" t="s">
        <v>804</v>
      </c>
      <c r="H439" s="1" t="s">
        <v>15</v>
      </c>
      <c r="I439" s="3" t="str">
        <f>"15"</f>
        <v>15</v>
      </c>
      <c r="J439" s="3">
        <v>411.37</v>
      </c>
      <c r="K439" s="2">
        <v>45868</v>
      </c>
      <c r="L439" s="2">
        <v>45873</v>
      </c>
      <c r="M439" s="1" t="s">
        <v>10078</v>
      </c>
      <c r="N439" s="1" t="s">
        <v>9947</v>
      </c>
    </row>
    <row r="440" spans="1:14" x14ac:dyDescent="0.35">
      <c r="A440" s="1" t="s">
        <v>0</v>
      </c>
      <c r="B440" s="3" t="s">
        <v>3183</v>
      </c>
      <c r="C440" s="1" t="s">
        <v>3357</v>
      </c>
      <c r="D440" s="1" t="s">
        <v>10077</v>
      </c>
      <c r="E440" s="1" t="str">
        <f>"2420"</f>
        <v>2420</v>
      </c>
      <c r="F440" s="1" t="s">
        <v>405</v>
      </c>
      <c r="G440" s="1" t="s">
        <v>406</v>
      </c>
      <c r="H440" s="1" t="s">
        <v>15</v>
      </c>
      <c r="I440" s="3" t="str">
        <f>"1"</f>
        <v>1</v>
      </c>
      <c r="J440" s="3" t="str">
        <f>"47600"</f>
        <v>47600</v>
      </c>
      <c r="K440" s="2">
        <v>45869</v>
      </c>
      <c r="L440" s="2">
        <v>45869</v>
      </c>
      <c r="M440" s="1" t="s">
        <v>10076</v>
      </c>
      <c r="N440" s="1" t="s">
        <v>10075</v>
      </c>
    </row>
    <row r="441" spans="1:14" x14ac:dyDescent="0.35">
      <c r="A441" s="1" t="s">
        <v>0</v>
      </c>
      <c r="B441" s="3" t="s">
        <v>1699</v>
      </c>
      <c r="C441" s="1" t="s">
        <v>1810</v>
      </c>
      <c r="D441" s="1" t="s">
        <v>10074</v>
      </c>
      <c r="E441" s="1" t="str">
        <f>"5930"</f>
        <v>5930</v>
      </c>
      <c r="F441" s="1" t="str">
        <f>"015625908"</f>
        <v>015625908</v>
      </c>
      <c r="G441" s="1" t="s">
        <v>10073</v>
      </c>
      <c r="H441" s="1" t="s">
        <v>15</v>
      </c>
      <c r="I441" s="3" t="str">
        <f>"10"</f>
        <v>10</v>
      </c>
      <c r="J441" s="3">
        <v>140.13</v>
      </c>
      <c r="K441" s="2">
        <v>45869</v>
      </c>
      <c r="L441" s="2">
        <v>45869</v>
      </c>
      <c r="M441" s="1" t="s">
        <v>10072</v>
      </c>
    </row>
    <row r="442" spans="1:14" x14ac:dyDescent="0.35">
      <c r="A442" s="1" t="s">
        <v>0</v>
      </c>
      <c r="B442" s="3" t="s">
        <v>3183</v>
      </c>
      <c r="C442" s="1" t="s">
        <v>3228</v>
      </c>
      <c r="D442" s="1" t="s">
        <v>10071</v>
      </c>
      <c r="E442" s="1" t="str">
        <f>"2320"</f>
        <v>2320</v>
      </c>
      <c r="F442" s="1" t="str">
        <f>"013469317"</f>
        <v>013469317</v>
      </c>
      <c r="G442" s="1" t="s">
        <v>604</v>
      </c>
      <c r="H442" s="1" t="s">
        <v>15</v>
      </c>
      <c r="I442" s="3" t="str">
        <f>"1"</f>
        <v>1</v>
      </c>
      <c r="J442" s="3" t="str">
        <f>"94171"</f>
        <v>94171</v>
      </c>
      <c r="K442" s="2">
        <v>45868</v>
      </c>
      <c r="L442" s="2">
        <v>45868</v>
      </c>
      <c r="M442" s="1" t="s">
        <v>10070</v>
      </c>
      <c r="N442" s="1" t="s">
        <v>10069</v>
      </c>
    </row>
    <row r="443" spans="1:14" x14ac:dyDescent="0.35">
      <c r="A443" s="1" t="s">
        <v>0</v>
      </c>
      <c r="B443" s="3" t="s">
        <v>3105</v>
      </c>
      <c r="C443" s="1" t="s">
        <v>10066</v>
      </c>
      <c r="D443" s="1" t="s">
        <v>10068</v>
      </c>
      <c r="E443" s="1" t="str">
        <f>"5855"</f>
        <v>5855</v>
      </c>
      <c r="F443" s="1" t="str">
        <f>"016002918"</f>
        <v>016002918</v>
      </c>
      <c r="G443" s="1" t="s">
        <v>2117</v>
      </c>
      <c r="H443" s="1" t="s">
        <v>15</v>
      </c>
      <c r="I443" s="3" t="str">
        <f>"1"</f>
        <v>1</v>
      </c>
      <c r="J443" s="3" t="str">
        <f>"27000"</f>
        <v>27000</v>
      </c>
      <c r="K443" s="2">
        <v>45867</v>
      </c>
      <c r="L443" s="2">
        <v>45868</v>
      </c>
      <c r="M443" s="1" t="s">
        <v>10067</v>
      </c>
      <c r="N443" s="1" t="s">
        <v>9947</v>
      </c>
    </row>
    <row r="444" spans="1:14" x14ac:dyDescent="0.35">
      <c r="A444" s="1" t="s">
        <v>0</v>
      </c>
      <c r="B444" s="3" t="s">
        <v>3105</v>
      </c>
      <c r="C444" s="1" t="s">
        <v>10066</v>
      </c>
      <c r="D444" s="1" t="s">
        <v>10065</v>
      </c>
      <c r="E444" s="1" t="str">
        <f>"5855"</f>
        <v>5855</v>
      </c>
      <c r="F444" s="1" t="str">
        <f>"016085809"</f>
        <v>016085809</v>
      </c>
      <c r="G444" s="1" t="s">
        <v>10064</v>
      </c>
      <c r="H444" s="1" t="s">
        <v>19</v>
      </c>
      <c r="I444" s="3" t="str">
        <f>"2"</f>
        <v>2</v>
      </c>
      <c r="J444" s="3" t="str">
        <f>"8979"</f>
        <v>8979</v>
      </c>
      <c r="K444" s="2">
        <v>45867</v>
      </c>
      <c r="L444" s="2">
        <v>45868</v>
      </c>
      <c r="M444" s="1" t="s">
        <v>10063</v>
      </c>
      <c r="N444" s="1" t="s">
        <v>9947</v>
      </c>
    </row>
    <row r="445" spans="1:14" x14ac:dyDescent="0.35">
      <c r="A445" s="1" t="s">
        <v>0</v>
      </c>
      <c r="B445" s="3" t="s">
        <v>3105</v>
      </c>
      <c r="C445" s="1" t="s">
        <v>10062</v>
      </c>
      <c r="D445" s="1" t="s">
        <v>10061</v>
      </c>
      <c r="E445" s="1" t="str">
        <f>"1240"</f>
        <v>1240</v>
      </c>
      <c r="F445" s="1" t="str">
        <f>"015544488"</f>
        <v>015544488</v>
      </c>
      <c r="G445" s="1" t="s">
        <v>5858</v>
      </c>
      <c r="H445" s="1" t="s">
        <v>15</v>
      </c>
      <c r="I445" s="3" t="str">
        <f>"4"</f>
        <v>4</v>
      </c>
      <c r="J445" s="3" t="str">
        <f>"379"</f>
        <v>379</v>
      </c>
      <c r="K445" s="2">
        <v>45866</v>
      </c>
      <c r="L445" s="2">
        <v>45868</v>
      </c>
      <c r="M445" s="1" t="s">
        <v>10060</v>
      </c>
      <c r="N445" s="1" t="s">
        <v>10023</v>
      </c>
    </row>
    <row r="446" spans="1:14" x14ac:dyDescent="0.35">
      <c r="A446" s="1" t="s">
        <v>0</v>
      </c>
      <c r="B446" s="3" t="s">
        <v>3183</v>
      </c>
      <c r="C446" s="1" t="s">
        <v>3233</v>
      </c>
      <c r="D446" s="1" t="s">
        <v>10059</v>
      </c>
      <c r="E446" s="1" t="str">
        <f>"1240"</f>
        <v>1240</v>
      </c>
      <c r="F446" s="1" t="str">
        <f>"014925264"</f>
        <v>014925264</v>
      </c>
      <c r="G446" s="1" t="s">
        <v>5858</v>
      </c>
      <c r="H446" s="1" t="s">
        <v>15</v>
      </c>
      <c r="I446" s="3" t="str">
        <f>"15"</f>
        <v>15</v>
      </c>
      <c r="J446" s="3">
        <v>706.4</v>
      </c>
      <c r="K446" s="2">
        <v>45867</v>
      </c>
      <c r="L446" s="2">
        <v>45867</v>
      </c>
      <c r="M446" s="1" t="s">
        <v>10058</v>
      </c>
      <c r="N446" s="1" t="s">
        <v>10041</v>
      </c>
    </row>
    <row r="447" spans="1:14" x14ac:dyDescent="0.35">
      <c r="A447" s="1" t="s">
        <v>0</v>
      </c>
      <c r="B447" s="3" t="s">
        <v>3183</v>
      </c>
      <c r="C447" s="1" t="s">
        <v>3233</v>
      </c>
      <c r="D447" s="1" t="s">
        <v>10057</v>
      </c>
      <c r="E447" s="1" t="str">
        <f>"5855"</f>
        <v>5855</v>
      </c>
      <c r="F447" s="1" t="str">
        <f>"015711258"</f>
        <v>015711258</v>
      </c>
      <c r="G447" s="1" t="s">
        <v>703</v>
      </c>
      <c r="H447" s="1" t="s">
        <v>15</v>
      </c>
      <c r="I447" s="3" t="str">
        <f>"18"</f>
        <v>18</v>
      </c>
      <c r="J447" s="3" t="str">
        <f>"1082"</f>
        <v>1082</v>
      </c>
      <c r="K447" s="2">
        <v>45867</v>
      </c>
      <c r="L447" s="2">
        <v>45867</v>
      </c>
      <c r="M447" s="1" t="s">
        <v>10054</v>
      </c>
      <c r="N447" s="1" t="s">
        <v>10056</v>
      </c>
    </row>
    <row r="448" spans="1:14" x14ac:dyDescent="0.35">
      <c r="A448" s="1" t="s">
        <v>0</v>
      </c>
      <c r="B448" s="3" t="s">
        <v>3183</v>
      </c>
      <c r="C448" s="1" t="s">
        <v>3233</v>
      </c>
      <c r="D448" s="1" t="s">
        <v>10055</v>
      </c>
      <c r="E448" s="1" t="str">
        <f>"5855"</f>
        <v>5855</v>
      </c>
      <c r="F448" s="1" t="str">
        <f>"015711258"</f>
        <v>015711258</v>
      </c>
      <c r="G448" s="1" t="s">
        <v>703</v>
      </c>
      <c r="H448" s="1" t="s">
        <v>15</v>
      </c>
      <c r="I448" s="3" t="str">
        <f>"18"</f>
        <v>18</v>
      </c>
      <c r="J448" s="3" t="str">
        <f>"1082"</f>
        <v>1082</v>
      </c>
      <c r="K448" s="2">
        <v>45867</v>
      </c>
      <c r="L448" s="2">
        <v>45867</v>
      </c>
      <c r="M448" s="1" t="s">
        <v>10054</v>
      </c>
      <c r="N448" s="1" t="s">
        <v>10053</v>
      </c>
    </row>
    <row r="449" spans="1:14" x14ac:dyDescent="0.35">
      <c r="A449" s="1" t="s">
        <v>0</v>
      </c>
      <c r="B449" s="3" t="s">
        <v>3183</v>
      </c>
      <c r="C449" s="1" t="s">
        <v>3233</v>
      </c>
      <c r="D449" s="1" t="s">
        <v>10052</v>
      </c>
      <c r="E449" s="1" t="str">
        <f>"1240"</f>
        <v>1240</v>
      </c>
      <c r="F449" s="1" t="str">
        <f>"014925264"</f>
        <v>014925264</v>
      </c>
      <c r="G449" s="1" t="s">
        <v>5858</v>
      </c>
      <c r="H449" s="1" t="s">
        <v>15</v>
      </c>
      <c r="I449" s="3" t="str">
        <f>"15"</f>
        <v>15</v>
      </c>
      <c r="J449" s="3">
        <v>706.4</v>
      </c>
      <c r="K449" s="2">
        <v>45867</v>
      </c>
      <c r="L449" s="2">
        <v>45867</v>
      </c>
      <c r="M449" s="1" t="s">
        <v>10051</v>
      </c>
      <c r="N449" s="1" t="s">
        <v>10050</v>
      </c>
    </row>
    <row r="450" spans="1:14" x14ac:dyDescent="0.35">
      <c r="A450" s="1" t="s">
        <v>0</v>
      </c>
      <c r="B450" s="3" t="s">
        <v>3105</v>
      </c>
      <c r="C450" s="1" t="s">
        <v>3129</v>
      </c>
      <c r="D450" s="1" t="s">
        <v>10049</v>
      </c>
      <c r="E450" s="1" t="str">
        <f>"2330"</f>
        <v>2330</v>
      </c>
      <c r="F450" s="1" t="s">
        <v>70</v>
      </c>
      <c r="G450" s="1" t="s">
        <v>71</v>
      </c>
      <c r="H450" s="1" t="s">
        <v>15</v>
      </c>
      <c r="I450" s="3" t="str">
        <f>"1"</f>
        <v>1</v>
      </c>
      <c r="J450" s="3" t="str">
        <f>"54300"</f>
        <v>54300</v>
      </c>
      <c r="K450" s="2">
        <v>45866</v>
      </c>
      <c r="L450" s="2">
        <v>45867</v>
      </c>
      <c r="M450" s="1" t="s">
        <v>10048</v>
      </c>
      <c r="N450" s="1" t="s">
        <v>9928</v>
      </c>
    </row>
    <row r="451" spans="1:14" x14ac:dyDescent="0.35">
      <c r="A451" s="1" t="s">
        <v>0</v>
      </c>
      <c r="B451" s="3" t="s">
        <v>3183</v>
      </c>
      <c r="C451" s="1" t="s">
        <v>3357</v>
      </c>
      <c r="D451" s="1" t="s">
        <v>10047</v>
      </c>
      <c r="E451" s="1" t="str">
        <f>"2320"</f>
        <v>2320</v>
      </c>
      <c r="F451" s="1" t="str">
        <f>"013477645"</f>
        <v>013477645</v>
      </c>
      <c r="G451" s="1" t="s">
        <v>5445</v>
      </c>
      <c r="H451" s="1" t="s">
        <v>15</v>
      </c>
      <c r="I451" s="3" t="str">
        <f>"1"</f>
        <v>1</v>
      </c>
      <c r="J451" s="3" t="str">
        <f>"350000"</f>
        <v>350000</v>
      </c>
      <c r="K451" s="2">
        <v>45864</v>
      </c>
      <c r="L451" s="2">
        <v>45866</v>
      </c>
      <c r="M451" s="1" t="s">
        <v>10046</v>
      </c>
      <c r="N451" s="1" t="s">
        <v>10045</v>
      </c>
    </row>
    <row r="452" spans="1:14" x14ac:dyDescent="0.35">
      <c r="A452" s="1" t="s">
        <v>0</v>
      </c>
      <c r="B452" s="3" t="s">
        <v>2248</v>
      </c>
      <c r="C452" s="1" t="s">
        <v>2357</v>
      </c>
      <c r="D452" s="1" t="s">
        <v>10044</v>
      </c>
      <c r="E452" s="1" t="str">
        <f>"5855"</f>
        <v>5855</v>
      </c>
      <c r="F452" s="1" t="str">
        <f>"015264703"</f>
        <v>015264703</v>
      </c>
      <c r="G452" s="1" t="s">
        <v>1953</v>
      </c>
      <c r="H452" s="1" t="s">
        <v>15</v>
      </c>
      <c r="I452" s="3" t="str">
        <f>"1"</f>
        <v>1</v>
      </c>
      <c r="J452" s="3">
        <v>10100.040000000001</v>
      </c>
      <c r="K452" s="2">
        <v>45864</v>
      </c>
      <c r="L452" s="2">
        <v>45866</v>
      </c>
      <c r="M452" s="1" t="s">
        <v>5838</v>
      </c>
      <c r="N452" s="1" t="s">
        <v>10036</v>
      </c>
    </row>
    <row r="453" spans="1:14" x14ac:dyDescent="0.35">
      <c r="A453" s="1" t="s">
        <v>0</v>
      </c>
      <c r="B453" s="3" t="s">
        <v>3183</v>
      </c>
      <c r="C453" s="1" t="s">
        <v>3487</v>
      </c>
      <c r="D453" s="1" t="s">
        <v>10043</v>
      </c>
      <c r="E453" s="1" t="str">
        <f>"2320"</f>
        <v>2320</v>
      </c>
      <c r="F453" s="1" t="s">
        <v>274</v>
      </c>
      <c r="G453" s="1" t="s">
        <v>275</v>
      </c>
      <c r="H453" s="1" t="s">
        <v>15</v>
      </c>
      <c r="I453" s="3" t="str">
        <f>"1"</f>
        <v>1</v>
      </c>
      <c r="J453" s="3" t="str">
        <f>"30000"</f>
        <v>30000</v>
      </c>
      <c r="K453" s="2">
        <v>45864</v>
      </c>
      <c r="L453" s="2">
        <v>45866</v>
      </c>
      <c r="M453" s="1" t="s">
        <v>10042</v>
      </c>
      <c r="N453" s="1" t="s">
        <v>10041</v>
      </c>
    </row>
    <row r="454" spans="1:14" x14ac:dyDescent="0.35">
      <c r="A454" s="1" t="s">
        <v>0</v>
      </c>
      <c r="B454" s="3" t="s">
        <v>3105</v>
      </c>
      <c r="C454" s="1" t="s">
        <v>5808</v>
      </c>
      <c r="D454" s="1" t="s">
        <v>10040</v>
      </c>
      <c r="E454" s="1" t="str">
        <f>"7025"</f>
        <v>7025</v>
      </c>
      <c r="F454" s="1" t="s">
        <v>2323</v>
      </c>
      <c r="G454" s="1" t="s">
        <v>2324</v>
      </c>
      <c r="H454" s="1" t="s">
        <v>15</v>
      </c>
      <c r="I454" s="3" t="str">
        <f>"1"</f>
        <v>1</v>
      </c>
      <c r="J454" s="3">
        <v>1770.54</v>
      </c>
      <c r="K454" s="2">
        <v>45863</v>
      </c>
      <c r="L454" s="2">
        <v>45866</v>
      </c>
      <c r="M454" s="1" t="s">
        <v>5806</v>
      </c>
      <c r="N454" s="1" t="s">
        <v>10039</v>
      </c>
    </row>
    <row r="455" spans="1:14" x14ac:dyDescent="0.35">
      <c r="A455" s="1" t="s">
        <v>0</v>
      </c>
      <c r="B455" s="3" t="s">
        <v>2248</v>
      </c>
      <c r="C455" s="1" t="s">
        <v>6201</v>
      </c>
      <c r="D455" s="1" t="s">
        <v>10038</v>
      </c>
      <c r="E455" s="1" t="str">
        <f>"5855"</f>
        <v>5855</v>
      </c>
      <c r="F455" s="1" t="str">
        <f>"015790062"</f>
        <v>015790062</v>
      </c>
      <c r="G455" s="1" t="s">
        <v>703</v>
      </c>
      <c r="H455" s="1" t="s">
        <v>15</v>
      </c>
      <c r="I455" s="3" t="str">
        <f>"43"</f>
        <v>43</v>
      </c>
      <c r="J455" s="3" t="str">
        <f>"906"</f>
        <v>906</v>
      </c>
      <c r="K455" s="2">
        <v>45862</v>
      </c>
      <c r="L455" s="2">
        <v>45863</v>
      </c>
      <c r="M455" s="1" t="s">
        <v>10037</v>
      </c>
      <c r="N455" s="1" t="s">
        <v>10036</v>
      </c>
    </row>
    <row r="456" spans="1:14" x14ac:dyDescent="0.35">
      <c r="A456" s="1" t="s">
        <v>0</v>
      </c>
      <c r="B456" s="3" t="s">
        <v>1944</v>
      </c>
      <c r="C456" s="1" t="s">
        <v>10033</v>
      </c>
      <c r="D456" s="1" t="s">
        <v>10035</v>
      </c>
      <c r="E456" s="1" t="str">
        <f>"5855"</f>
        <v>5855</v>
      </c>
      <c r="F456" s="1" t="str">
        <f>"015330555"</f>
        <v>015330555</v>
      </c>
      <c r="G456" s="1" t="s">
        <v>2656</v>
      </c>
      <c r="H456" s="1" t="s">
        <v>15</v>
      </c>
      <c r="I456" s="3" t="str">
        <f>"20"</f>
        <v>20</v>
      </c>
      <c r="J456" s="3" t="str">
        <f>"1800"</f>
        <v>1800</v>
      </c>
      <c r="K456" s="2">
        <v>45860</v>
      </c>
      <c r="L456" s="2">
        <v>45863</v>
      </c>
      <c r="M456" s="1" t="s">
        <v>10034</v>
      </c>
      <c r="N456" s="1" t="s">
        <v>10030</v>
      </c>
    </row>
    <row r="457" spans="1:14" x14ac:dyDescent="0.35">
      <c r="A457" s="1" t="s">
        <v>0</v>
      </c>
      <c r="B457" s="3" t="s">
        <v>1944</v>
      </c>
      <c r="C457" s="1" t="s">
        <v>10033</v>
      </c>
      <c r="D457" s="1" t="s">
        <v>10032</v>
      </c>
      <c r="E457" s="1" t="str">
        <f>"1240"</f>
        <v>1240</v>
      </c>
      <c r="F457" s="1" t="str">
        <f>"015751105"</f>
        <v>015751105</v>
      </c>
      <c r="G457" s="1" t="s">
        <v>208</v>
      </c>
      <c r="H457" s="1" t="s">
        <v>15</v>
      </c>
      <c r="I457" s="3" t="str">
        <f>"10"</f>
        <v>10</v>
      </c>
      <c r="J457" s="3" t="str">
        <f>"7974"</f>
        <v>7974</v>
      </c>
      <c r="K457" s="2">
        <v>45860</v>
      </c>
      <c r="L457" s="2">
        <v>45863</v>
      </c>
      <c r="M457" s="1" t="s">
        <v>10031</v>
      </c>
      <c r="N457" s="1" t="s">
        <v>10030</v>
      </c>
    </row>
    <row r="458" spans="1:14" x14ac:dyDescent="0.35">
      <c r="A458" s="1" t="s">
        <v>0</v>
      </c>
      <c r="B458" s="3" t="s">
        <v>2494</v>
      </c>
      <c r="C458" s="1" t="s">
        <v>2605</v>
      </c>
      <c r="D458" s="1" t="s">
        <v>10029</v>
      </c>
      <c r="E458" s="1" t="str">
        <f>"2320"</f>
        <v>2320</v>
      </c>
      <c r="F458" s="1" t="str">
        <f>"013469317"</f>
        <v>013469317</v>
      </c>
      <c r="G458" s="1" t="s">
        <v>604</v>
      </c>
      <c r="H458" s="1" t="s">
        <v>15</v>
      </c>
      <c r="I458" s="3" t="str">
        <f>"1"</f>
        <v>1</v>
      </c>
      <c r="J458" s="3" t="str">
        <f>"94171"</f>
        <v>94171</v>
      </c>
      <c r="K458" s="2">
        <v>45862</v>
      </c>
      <c r="L458" s="2">
        <v>45862</v>
      </c>
      <c r="M458" s="1" t="s">
        <v>10028</v>
      </c>
      <c r="N458" s="1" t="s">
        <v>10025</v>
      </c>
    </row>
    <row r="459" spans="1:14" x14ac:dyDescent="0.35">
      <c r="A459" s="1" t="s">
        <v>0</v>
      </c>
      <c r="B459" s="3" t="s">
        <v>2494</v>
      </c>
      <c r="C459" s="1" t="s">
        <v>2605</v>
      </c>
      <c r="D459" s="1" t="s">
        <v>10027</v>
      </c>
      <c r="E459" s="1" t="str">
        <f>"2320"</f>
        <v>2320</v>
      </c>
      <c r="F459" s="1" t="str">
        <f>"013469317"</f>
        <v>013469317</v>
      </c>
      <c r="G459" s="1" t="s">
        <v>604</v>
      </c>
      <c r="H459" s="1" t="s">
        <v>15</v>
      </c>
      <c r="I459" s="3" t="str">
        <f>"1"</f>
        <v>1</v>
      </c>
      <c r="J459" s="3" t="str">
        <f>"94171"</f>
        <v>94171</v>
      </c>
      <c r="K459" s="2">
        <v>45862</v>
      </c>
      <c r="L459" s="2">
        <v>45862</v>
      </c>
      <c r="M459" s="1" t="s">
        <v>10026</v>
      </c>
      <c r="N459" s="1" t="s">
        <v>10025</v>
      </c>
    </row>
    <row r="460" spans="1:14" x14ac:dyDescent="0.35">
      <c r="A460" s="1" t="s">
        <v>0</v>
      </c>
      <c r="B460" s="3" t="s">
        <v>3105</v>
      </c>
      <c r="C460" s="1" t="s">
        <v>3129</v>
      </c>
      <c r="D460" s="1" t="s">
        <v>10024</v>
      </c>
      <c r="E460" s="1" t="str">
        <f>"2310"</f>
        <v>2310</v>
      </c>
      <c r="F460" s="1" t="s">
        <v>413</v>
      </c>
      <c r="G460" s="1" t="s">
        <v>414</v>
      </c>
      <c r="H460" s="1" t="s">
        <v>15</v>
      </c>
      <c r="I460" s="3" t="str">
        <f>"1"</f>
        <v>1</v>
      </c>
      <c r="J460" s="3">
        <v>10164.040000000001</v>
      </c>
      <c r="K460" s="2">
        <v>45859</v>
      </c>
      <c r="L460" s="2">
        <v>45862</v>
      </c>
      <c r="M460" s="1" t="s">
        <v>3133</v>
      </c>
      <c r="N460" s="1" t="s">
        <v>10023</v>
      </c>
    </row>
    <row r="461" spans="1:14" x14ac:dyDescent="0.35">
      <c r="A461" s="1" t="s">
        <v>0</v>
      </c>
      <c r="B461" s="3" t="s">
        <v>2494</v>
      </c>
      <c r="C461" s="1" t="s">
        <v>2600</v>
      </c>
      <c r="D461" s="1" t="s">
        <v>10022</v>
      </c>
      <c r="E461" s="1" t="str">
        <f>"5855"</f>
        <v>5855</v>
      </c>
      <c r="F461" s="1" t="str">
        <f>"015333888"</f>
        <v>015333888</v>
      </c>
      <c r="G461" s="1" t="s">
        <v>2117</v>
      </c>
      <c r="H461" s="1" t="s">
        <v>15</v>
      </c>
      <c r="I461" s="3" t="str">
        <f>"2"</f>
        <v>2</v>
      </c>
      <c r="J461" s="3">
        <v>4356.18</v>
      </c>
      <c r="K461" s="2">
        <v>45860</v>
      </c>
      <c r="L461" s="2">
        <v>45861</v>
      </c>
      <c r="M461" s="1" t="s">
        <v>10021</v>
      </c>
      <c r="N461" s="1" t="s">
        <v>10020</v>
      </c>
    </row>
    <row r="462" spans="1:14" x14ac:dyDescent="0.35">
      <c r="A462" s="1" t="s">
        <v>0</v>
      </c>
      <c r="B462" s="3" t="s">
        <v>1699</v>
      </c>
      <c r="C462" s="1" t="s">
        <v>6146</v>
      </c>
      <c r="D462" s="1" t="s">
        <v>10019</v>
      </c>
      <c r="E462" s="1" t="str">
        <f>"8145"</f>
        <v>8145</v>
      </c>
      <c r="F462" s="1" t="s">
        <v>743</v>
      </c>
      <c r="G462" s="1" t="s">
        <v>744</v>
      </c>
      <c r="H462" s="1" t="s">
        <v>15</v>
      </c>
      <c r="I462" s="3" t="str">
        <f>"7"</f>
        <v>7</v>
      </c>
      <c r="J462" s="3" t="str">
        <f>"600"</f>
        <v>600</v>
      </c>
      <c r="K462" s="2">
        <v>45859</v>
      </c>
      <c r="L462" s="2">
        <v>45860</v>
      </c>
      <c r="M462" s="1" t="s">
        <v>10018</v>
      </c>
      <c r="N462" s="1" t="s">
        <v>10010</v>
      </c>
    </row>
    <row r="463" spans="1:14" x14ac:dyDescent="0.35">
      <c r="A463" s="1" t="s">
        <v>0</v>
      </c>
      <c r="B463" s="3" t="s">
        <v>1699</v>
      </c>
      <c r="C463" s="1" t="s">
        <v>6146</v>
      </c>
      <c r="D463" s="1" t="s">
        <v>10017</v>
      </c>
      <c r="E463" s="1" t="str">
        <f>"4940"</f>
        <v>4940</v>
      </c>
      <c r="F463" s="1" t="str">
        <f>"007851162"</f>
        <v>007851162</v>
      </c>
      <c r="G463" s="1" t="s">
        <v>10016</v>
      </c>
      <c r="H463" s="1" t="s">
        <v>15</v>
      </c>
      <c r="I463" s="3" t="str">
        <f>"1"</f>
        <v>1</v>
      </c>
      <c r="J463" s="3">
        <v>81.67</v>
      </c>
      <c r="K463" s="2">
        <v>45859</v>
      </c>
      <c r="L463" s="2">
        <v>45860</v>
      </c>
      <c r="M463" s="1" t="s">
        <v>10015</v>
      </c>
      <c r="N463" s="1" t="s">
        <v>10010</v>
      </c>
    </row>
    <row r="464" spans="1:14" x14ac:dyDescent="0.35">
      <c r="A464" s="1" t="s">
        <v>0</v>
      </c>
      <c r="B464" s="3" t="s">
        <v>1699</v>
      </c>
      <c r="C464" s="1" t="s">
        <v>6146</v>
      </c>
      <c r="D464" s="1" t="s">
        <v>10014</v>
      </c>
      <c r="E464" s="1" t="str">
        <f>"2340"</f>
        <v>2340</v>
      </c>
      <c r="F464" s="1" t="s">
        <v>694</v>
      </c>
      <c r="G464" s="1" t="s">
        <v>695</v>
      </c>
      <c r="H464" s="1" t="s">
        <v>15</v>
      </c>
      <c r="I464" s="3" t="str">
        <f>"1"</f>
        <v>1</v>
      </c>
      <c r="J464" s="3">
        <v>14754.16</v>
      </c>
      <c r="K464" s="2">
        <v>45859</v>
      </c>
      <c r="L464" s="2">
        <v>45860</v>
      </c>
      <c r="M464" s="1" t="s">
        <v>10013</v>
      </c>
      <c r="N464" s="1" t="s">
        <v>10010</v>
      </c>
    </row>
    <row r="465" spans="1:14" x14ac:dyDescent="0.35">
      <c r="A465" s="1" t="s">
        <v>0</v>
      </c>
      <c r="B465" s="3" t="s">
        <v>1699</v>
      </c>
      <c r="C465" s="1" t="s">
        <v>6146</v>
      </c>
      <c r="D465" s="1" t="s">
        <v>10012</v>
      </c>
      <c r="E465" s="1" t="str">
        <f>"6130"</f>
        <v>6130</v>
      </c>
      <c r="F465" s="1" t="str">
        <f>"014430970"</f>
        <v>014430970</v>
      </c>
      <c r="G465" s="1" t="s">
        <v>1728</v>
      </c>
      <c r="H465" s="1" t="s">
        <v>15</v>
      </c>
      <c r="I465" s="3" t="str">
        <f>"2"</f>
        <v>2</v>
      </c>
      <c r="J465" s="3" t="str">
        <f>"4399"</f>
        <v>4399</v>
      </c>
      <c r="K465" s="2">
        <v>45859</v>
      </c>
      <c r="L465" s="2">
        <v>45860</v>
      </c>
      <c r="M465" s="1" t="s">
        <v>10011</v>
      </c>
      <c r="N465" s="1" t="s">
        <v>10010</v>
      </c>
    </row>
    <row r="466" spans="1:14" x14ac:dyDescent="0.35">
      <c r="A466" s="1" t="s">
        <v>0</v>
      </c>
      <c r="B466" s="3" t="s">
        <v>3183</v>
      </c>
      <c r="C466" s="1" t="s">
        <v>3256</v>
      </c>
      <c r="D466" s="1" t="s">
        <v>10009</v>
      </c>
      <c r="E466" s="1" t="str">
        <f>"2320"</f>
        <v>2320</v>
      </c>
      <c r="F466" s="1" t="s">
        <v>321</v>
      </c>
      <c r="G466" s="1" t="s">
        <v>322</v>
      </c>
      <c r="H466" s="1" t="s">
        <v>15</v>
      </c>
      <c r="I466" s="3" t="str">
        <f>"1"</f>
        <v>1</v>
      </c>
      <c r="J466" s="3" t="str">
        <f>"80000"</f>
        <v>80000</v>
      </c>
      <c r="K466" s="2">
        <v>45859</v>
      </c>
      <c r="L466" s="2">
        <v>45860</v>
      </c>
      <c r="M466" s="1" t="s">
        <v>10008</v>
      </c>
      <c r="N466" s="1" t="s">
        <v>9953</v>
      </c>
    </row>
    <row r="467" spans="1:14" x14ac:dyDescent="0.35">
      <c r="A467" s="1" t="s">
        <v>0</v>
      </c>
      <c r="B467" s="3" t="s">
        <v>3105</v>
      </c>
      <c r="C467" s="1" t="s">
        <v>3129</v>
      </c>
      <c r="D467" s="1" t="s">
        <v>10007</v>
      </c>
      <c r="E467" s="1" t="str">
        <f>"2330"</f>
        <v>2330</v>
      </c>
      <c r="F467" s="1" t="s">
        <v>70</v>
      </c>
      <c r="G467" s="1" t="s">
        <v>71</v>
      </c>
      <c r="H467" s="1" t="s">
        <v>15</v>
      </c>
      <c r="I467" s="3" t="str">
        <f>"1"</f>
        <v>1</v>
      </c>
      <c r="J467" s="3">
        <v>11755.06</v>
      </c>
      <c r="K467" s="2">
        <v>45859</v>
      </c>
      <c r="L467" s="2">
        <v>45860</v>
      </c>
      <c r="M467" s="1" t="s">
        <v>10006</v>
      </c>
      <c r="N467" s="1" t="s">
        <v>9928</v>
      </c>
    </row>
    <row r="468" spans="1:14" x14ac:dyDescent="0.35">
      <c r="A468" s="1" t="s">
        <v>0</v>
      </c>
      <c r="B468" s="3" t="s">
        <v>3183</v>
      </c>
      <c r="C468" s="1" t="s">
        <v>3376</v>
      </c>
      <c r="D468" s="1" t="s">
        <v>10005</v>
      </c>
      <c r="E468" s="1" t="str">
        <f>"6115"</f>
        <v>6115</v>
      </c>
      <c r="F468" s="1" t="str">
        <f>"012747387"</f>
        <v>012747387</v>
      </c>
      <c r="G468" s="1" t="s">
        <v>435</v>
      </c>
      <c r="H468" s="1" t="s">
        <v>15</v>
      </c>
      <c r="I468" s="3" t="str">
        <f>"1"</f>
        <v>1</v>
      </c>
      <c r="J468" s="3">
        <v>12797.7</v>
      </c>
      <c r="K468" s="2">
        <v>45859</v>
      </c>
      <c r="L468" s="2">
        <v>45860</v>
      </c>
      <c r="M468" s="1" t="s">
        <v>8220</v>
      </c>
      <c r="N468" s="1" t="s">
        <v>10004</v>
      </c>
    </row>
    <row r="469" spans="1:14" x14ac:dyDescent="0.35">
      <c r="A469" s="1" t="s">
        <v>0</v>
      </c>
      <c r="B469" s="3" t="s">
        <v>3183</v>
      </c>
      <c r="C469" s="1" t="s">
        <v>3306</v>
      </c>
      <c r="D469" s="1" t="s">
        <v>10003</v>
      </c>
      <c r="E469" s="1" t="str">
        <f>"2320"</f>
        <v>2320</v>
      </c>
      <c r="F469" s="1" t="s">
        <v>321</v>
      </c>
      <c r="G469" s="1" t="s">
        <v>322</v>
      </c>
      <c r="H469" s="1" t="s">
        <v>15</v>
      </c>
      <c r="I469" s="3" t="str">
        <f>"1"</f>
        <v>1</v>
      </c>
      <c r="J469" s="3">
        <v>512521.97</v>
      </c>
      <c r="K469" s="2">
        <v>45859</v>
      </c>
      <c r="L469" s="2">
        <v>45859</v>
      </c>
      <c r="M469" s="1" t="s">
        <v>10002</v>
      </c>
      <c r="N469" s="1" t="s">
        <v>10001</v>
      </c>
    </row>
    <row r="470" spans="1:14" x14ac:dyDescent="0.35">
      <c r="A470" s="1" t="s">
        <v>0</v>
      </c>
      <c r="B470" s="3" t="s">
        <v>2494</v>
      </c>
      <c r="C470" s="1" t="s">
        <v>5795</v>
      </c>
      <c r="D470" s="1" t="s">
        <v>10000</v>
      </c>
      <c r="E470" s="1" t="str">
        <f>"2320"</f>
        <v>2320</v>
      </c>
      <c r="F470" s="1" t="s">
        <v>321</v>
      </c>
      <c r="G470" s="1" t="s">
        <v>322</v>
      </c>
      <c r="H470" s="1" t="s">
        <v>15</v>
      </c>
      <c r="I470" s="3" t="str">
        <f>"1"</f>
        <v>1</v>
      </c>
      <c r="J470" s="3">
        <v>512521.97</v>
      </c>
      <c r="K470" s="2">
        <v>45859</v>
      </c>
      <c r="L470" s="2">
        <v>45859</v>
      </c>
      <c r="M470" s="1" t="s">
        <v>9999</v>
      </c>
      <c r="N470" s="1" t="s">
        <v>9996</v>
      </c>
    </row>
    <row r="471" spans="1:14" x14ac:dyDescent="0.35">
      <c r="A471" s="1" t="s">
        <v>0</v>
      </c>
      <c r="B471" s="3" t="s">
        <v>2494</v>
      </c>
      <c r="C471" s="1" t="s">
        <v>2514</v>
      </c>
      <c r="D471" s="1" t="s">
        <v>9998</v>
      </c>
      <c r="E471" s="1" t="str">
        <f>"2330"</f>
        <v>2330</v>
      </c>
      <c r="F471" s="1" t="s">
        <v>70</v>
      </c>
      <c r="G471" s="1" t="s">
        <v>71</v>
      </c>
      <c r="H471" s="1" t="s">
        <v>15</v>
      </c>
      <c r="I471" s="3" t="str">
        <f>"1"</f>
        <v>1</v>
      </c>
      <c r="J471" s="3" t="str">
        <f>"60000"</f>
        <v>60000</v>
      </c>
      <c r="K471" s="2">
        <v>45858</v>
      </c>
      <c r="L471" s="2">
        <v>45859</v>
      </c>
      <c r="M471" s="1" t="s">
        <v>9997</v>
      </c>
      <c r="N471" s="1" t="s">
        <v>9996</v>
      </c>
    </row>
    <row r="472" spans="1:14" x14ac:dyDescent="0.35">
      <c r="A472" s="1" t="s">
        <v>0</v>
      </c>
      <c r="B472" s="3" t="s">
        <v>3183</v>
      </c>
      <c r="C472" s="1" t="s">
        <v>3357</v>
      </c>
      <c r="D472" s="1" t="s">
        <v>9995</v>
      </c>
      <c r="E472" s="1" t="str">
        <f>"2320"</f>
        <v>2320</v>
      </c>
      <c r="F472" s="1" t="s">
        <v>321</v>
      </c>
      <c r="G472" s="1" t="s">
        <v>322</v>
      </c>
      <c r="H472" s="1" t="s">
        <v>15</v>
      </c>
      <c r="I472" s="3" t="str">
        <f>"1"</f>
        <v>1</v>
      </c>
      <c r="J472" s="3" t="str">
        <f>"80000"</f>
        <v>80000</v>
      </c>
      <c r="K472" s="2">
        <v>45858</v>
      </c>
      <c r="L472" s="2">
        <v>45859</v>
      </c>
      <c r="M472" s="1" t="s">
        <v>9994</v>
      </c>
      <c r="N472" s="1" t="s">
        <v>9953</v>
      </c>
    </row>
    <row r="473" spans="1:14" x14ac:dyDescent="0.35">
      <c r="A473" s="1" t="s">
        <v>0</v>
      </c>
      <c r="B473" s="3" t="s">
        <v>3183</v>
      </c>
      <c r="C473" s="1" t="s">
        <v>3357</v>
      </c>
      <c r="D473" s="1" t="s">
        <v>9993</v>
      </c>
      <c r="E473" s="1" t="str">
        <f>"2330"</f>
        <v>2330</v>
      </c>
      <c r="F473" s="1" t="s">
        <v>70</v>
      </c>
      <c r="G473" s="1" t="s">
        <v>71</v>
      </c>
      <c r="H473" s="1" t="s">
        <v>15</v>
      </c>
      <c r="I473" s="3" t="str">
        <f>"1"</f>
        <v>1</v>
      </c>
      <c r="J473" s="3" t="str">
        <f>"60000"</f>
        <v>60000</v>
      </c>
      <c r="K473" s="2">
        <v>45858</v>
      </c>
      <c r="L473" s="2">
        <v>45859</v>
      </c>
      <c r="M473" s="1" t="s">
        <v>9992</v>
      </c>
      <c r="N473" s="1" t="s">
        <v>9953</v>
      </c>
    </row>
    <row r="474" spans="1:14" x14ac:dyDescent="0.35">
      <c r="A474" s="1" t="s">
        <v>0</v>
      </c>
      <c r="B474" s="3" t="s">
        <v>3183</v>
      </c>
      <c r="C474" s="1" t="s">
        <v>3357</v>
      </c>
      <c r="D474" s="1" t="s">
        <v>9991</v>
      </c>
      <c r="E474" s="1" t="str">
        <f>"2320"</f>
        <v>2320</v>
      </c>
      <c r="F474" s="1" t="s">
        <v>321</v>
      </c>
      <c r="G474" s="1" t="s">
        <v>322</v>
      </c>
      <c r="H474" s="1" t="s">
        <v>15</v>
      </c>
      <c r="I474" s="3" t="str">
        <f>"1"</f>
        <v>1</v>
      </c>
      <c r="J474" s="3">
        <v>512521.97</v>
      </c>
      <c r="K474" s="2">
        <v>45858</v>
      </c>
      <c r="L474" s="2">
        <v>45859</v>
      </c>
      <c r="M474" s="1" t="s">
        <v>9990</v>
      </c>
      <c r="N474" s="1" t="s">
        <v>9953</v>
      </c>
    </row>
    <row r="475" spans="1:14" x14ac:dyDescent="0.35">
      <c r="A475" s="1" t="s">
        <v>0</v>
      </c>
      <c r="B475" s="3" t="s">
        <v>3513</v>
      </c>
      <c r="C475" s="1" t="s">
        <v>3801</v>
      </c>
      <c r="D475" s="1" t="s">
        <v>9989</v>
      </c>
      <c r="E475" s="1" t="str">
        <f>"5840"</f>
        <v>5840</v>
      </c>
      <c r="F475" s="1" t="str">
        <f>"015172918"</f>
        <v>015172918</v>
      </c>
      <c r="G475" s="1" t="s">
        <v>651</v>
      </c>
      <c r="H475" s="1" t="s">
        <v>15</v>
      </c>
      <c r="I475" s="3" t="str">
        <f>"1"</f>
        <v>1</v>
      </c>
      <c r="J475" s="3">
        <v>1040.04</v>
      </c>
      <c r="K475" s="2">
        <v>45858</v>
      </c>
      <c r="L475" s="2">
        <v>45859</v>
      </c>
      <c r="M475" s="1" t="s">
        <v>9985</v>
      </c>
      <c r="N475" s="1" t="s">
        <v>9984</v>
      </c>
    </row>
    <row r="476" spans="1:14" x14ac:dyDescent="0.35">
      <c r="A476" s="1" t="s">
        <v>0</v>
      </c>
      <c r="B476" s="3" t="s">
        <v>3513</v>
      </c>
      <c r="C476" s="1" t="s">
        <v>3801</v>
      </c>
      <c r="D476" s="1" t="s">
        <v>9988</v>
      </c>
      <c r="E476" s="1" t="str">
        <f>"5840"</f>
        <v>5840</v>
      </c>
      <c r="F476" s="1" t="str">
        <f>"015172918"</f>
        <v>015172918</v>
      </c>
      <c r="G476" s="1" t="s">
        <v>651</v>
      </c>
      <c r="H476" s="1" t="s">
        <v>15</v>
      </c>
      <c r="I476" s="3" t="str">
        <f>"1"</f>
        <v>1</v>
      </c>
      <c r="J476" s="3">
        <v>1040.04</v>
      </c>
      <c r="K476" s="2">
        <v>45858</v>
      </c>
      <c r="L476" s="2">
        <v>45859</v>
      </c>
      <c r="M476" s="1" t="s">
        <v>9985</v>
      </c>
      <c r="N476" s="1" t="s">
        <v>9984</v>
      </c>
    </row>
    <row r="477" spans="1:14" x14ac:dyDescent="0.35">
      <c r="A477" s="1" t="s">
        <v>0</v>
      </c>
      <c r="B477" s="3" t="s">
        <v>3513</v>
      </c>
      <c r="C477" s="1" t="s">
        <v>3801</v>
      </c>
      <c r="D477" s="1" t="s">
        <v>9987</v>
      </c>
      <c r="E477" s="1" t="str">
        <f>"5840"</f>
        <v>5840</v>
      </c>
      <c r="F477" s="1" t="str">
        <f>"015172918"</f>
        <v>015172918</v>
      </c>
      <c r="G477" s="1" t="s">
        <v>651</v>
      </c>
      <c r="H477" s="1" t="s">
        <v>15</v>
      </c>
      <c r="I477" s="3" t="str">
        <f>"1"</f>
        <v>1</v>
      </c>
      <c r="J477" s="3">
        <v>1040.04</v>
      </c>
      <c r="K477" s="2">
        <v>45858</v>
      </c>
      <c r="L477" s="2">
        <v>45859</v>
      </c>
      <c r="M477" s="1" t="s">
        <v>9985</v>
      </c>
      <c r="N477" s="1" t="s">
        <v>9984</v>
      </c>
    </row>
    <row r="478" spans="1:14" x14ac:dyDescent="0.35">
      <c r="A478" s="1" t="s">
        <v>0</v>
      </c>
      <c r="B478" s="3" t="s">
        <v>3513</v>
      </c>
      <c r="C478" s="1" t="s">
        <v>3801</v>
      </c>
      <c r="D478" s="1" t="s">
        <v>9986</v>
      </c>
      <c r="E478" s="1" t="str">
        <f>"5840"</f>
        <v>5840</v>
      </c>
      <c r="F478" s="1" t="str">
        <f>"015172918"</f>
        <v>015172918</v>
      </c>
      <c r="G478" s="1" t="s">
        <v>651</v>
      </c>
      <c r="H478" s="1" t="s">
        <v>15</v>
      </c>
      <c r="I478" s="3" t="str">
        <f>"1"</f>
        <v>1</v>
      </c>
      <c r="J478" s="3">
        <v>1040.04</v>
      </c>
      <c r="K478" s="2">
        <v>45858</v>
      </c>
      <c r="L478" s="2">
        <v>45859</v>
      </c>
      <c r="M478" s="1" t="s">
        <v>9985</v>
      </c>
      <c r="N478" s="1" t="s">
        <v>9984</v>
      </c>
    </row>
    <row r="479" spans="1:14" x14ac:dyDescent="0.35">
      <c r="A479" s="1" t="s">
        <v>0</v>
      </c>
      <c r="B479" s="3" t="s">
        <v>3183</v>
      </c>
      <c r="C479" s="1" t="s">
        <v>3487</v>
      </c>
      <c r="D479" s="1" t="s">
        <v>9983</v>
      </c>
      <c r="E479" s="1" t="str">
        <f>"2320"</f>
        <v>2320</v>
      </c>
      <c r="F479" s="1" t="str">
        <f>"011382937"</f>
        <v>011382937</v>
      </c>
      <c r="G479" s="1" t="s">
        <v>1448</v>
      </c>
      <c r="H479" s="1" t="s">
        <v>15</v>
      </c>
      <c r="I479" s="3" t="str">
        <f>"1"</f>
        <v>1</v>
      </c>
      <c r="J479" s="3" t="str">
        <f>"21280"</f>
        <v>21280</v>
      </c>
      <c r="K479" s="2">
        <v>45858</v>
      </c>
      <c r="L479" s="2">
        <v>45859</v>
      </c>
      <c r="M479" s="1" t="s">
        <v>9982</v>
      </c>
      <c r="N479" s="1" t="s">
        <v>9981</v>
      </c>
    </row>
    <row r="480" spans="1:14" x14ac:dyDescent="0.35">
      <c r="A480" s="1" t="s">
        <v>0</v>
      </c>
      <c r="B480" s="3" t="s">
        <v>3183</v>
      </c>
      <c r="C480" s="1" t="s">
        <v>3184</v>
      </c>
      <c r="D480" s="1" t="s">
        <v>9980</v>
      </c>
      <c r="E480" s="1" t="str">
        <f>"2320"</f>
        <v>2320</v>
      </c>
      <c r="F480" s="1" t="s">
        <v>321</v>
      </c>
      <c r="G480" s="1" t="s">
        <v>322</v>
      </c>
      <c r="H480" s="1" t="s">
        <v>15</v>
      </c>
      <c r="I480" s="3" t="str">
        <f>"1"</f>
        <v>1</v>
      </c>
      <c r="J480" s="3" t="str">
        <f>"80000"</f>
        <v>80000</v>
      </c>
      <c r="K480" s="2">
        <v>45857</v>
      </c>
      <c r="L480" s="2">
        <v>45859</v>
      </c>
      <c r="M480" s="1" t="s">
        <v>9979</v>
      </c>
      <c r="N480" s="1" t="s">
        <v>9953</v>
      </c>
    </row>
    <row r="481" spans="1:14" x14ac:dyDescent="0.35">
      <c r="A481" s="1" t="s">
        <v>0</v>
      </c>
      <c r="B481" s="3" t="s">
        <v>3183</v>
      </c>
      <c r="C481" s="1" t="s">
        <v>3184</v>
      </c>
      <c r="D481" s="1" t="s">
        <v>9978</v>
      </c>
      <c r="E481" s="1" t="str">
        <f>"2320"</f>
        <v>2320</v>
      </c>
      <c r="F481" s="1" t="s">
        <v>321</v>
      </c>
      <c r="G481" s="1" t="s">
        <v>322</v>
      </c>
      <c r="H481" s="1" t="s">
        <v>15</v>
      </c>
      <c r="I481" s="3" t="str">
        <f>"1"</f>
        <v>1</v>
      </c>
      <c r="J481" s="3">
        <v>512521.97</v>
      </c>
      <c r="K481" s="2">
        <v>45857</v>
      </c>
      <c r="L481" s="2">
        <v>45859</v>
      </c>
      <c r="M481" s="1" t="s">
        <v>9977</v>
      </c>
      <c r="N481" s="1" t="s">
        <v>9953</v>
      </c>
    </row>
    <row r="482" spans="1:14" x14ac:dyDescent="0.35">
      <c r="A482" s="1" t="s">
        <v>0</v>
      </c>
      <c r="B482" s="3" t="s">
        <v>3183</v>
      </c>
      <c r="C482" s="1" t="s">
        <v>3256</v>
      </c>
      <c r="D482" s="1" t="s">
        <v>9976</v>
      </c>
      <c r="E482" s="1" t="str">
        <f>"2320"</f>
        <v>2320</v>
      </c>
      <c r="F482" s="1" t="s">
        <v>321</v>
      </c>
      <c r="G482" s="1" t="s">
        <v>322</v>
      </c>
      <c r="H482" s="1" t="s">
        <v>15</v>
      </c>
      <c r="I482" s="3" t="str">
        <f>"1"</f>
        <v>1</v>
      </c>
      <c r="J482" s="3" t="str">
        <f>"80000"</f>
        <v>80000</v>
      </c>
      <c r="K482" s="2">
        <v>45857</v>
      </c>
      <c r="L482" s="2">
        <v>45859</v>
      </c>
      <c r="M482" s="1" t="s">
        <v>9975</v>
      </c>
      <c r="N482" s="1" t="s">
        <v>9953</v>
      </c>
    </row>
    <row r="483" spans="1:14" x14ac:dyDescent="0.35">
      <c r="A483" s="1" t="s">
        <v>0</v>
      </c>
      <c r="B483" s="3" t="s">
        <v>3183</v>
      </c>
      <c r="C483" s="1" t="s">
        <v>3256</v>
      </c>
      <c r="D483" s="1" t="s">
        <v>9974</v>
      </c>
      <c r="E483" s="1" t="str">
        <f>"2330"</f>
        <v>2330</v>
      </c>
      <c r="F483" s="1" t="s">
        <v>70</v>
      </c>
      <c r="G483" s="1" t="s">
        <v>71</v>
      </c>
      <c r="H483" s="1" t="s">
        <v>15</v>
      </c>
      <c r="I483" s="3" t="str">
        <f>"1"</f>
        <v>1</v>
      </c>
      <c r="J483" s="3" t="str">
        <f>"60000"</f>
        <v>60000</v>
      </c>
      <c r="K483" s="2">
        <v>45857</v>
      </c>
      <c r="L483" s="2">
        <v>45859</v>
      </c>
      <c r="M483" s="1" t="s">
        <v>9973</v>
      </c>
      <c r="N483" s="1" t="s">
        <v>9953</v>
      </c>
    </row>
    <row r="484" spans="1:14" x14ac:dyDescent="0.35">
      <c r="A484" s="1" t="s">
        <v>0</v>
      </c>
      <c r="B484" s="3" t="s">
        <v>3105</v>
      </c>
      <c r="C484" s="1" t="s">
        <v>4877</v>
      </c>
      <c r="D484" s="1" t="s">
        <v>9972</v>
      </c>
      <c r="E484" s="1" t="str">
        <f>"2320"</f>
        <v>2320</v>
      </c>
      <c r="F484" s="1" t="s">
        <v>321</v>
      </c>
      <c r="G484" s="1" t="s">
        <v>322</v>
      </c>
      <c r="H484" s="1" t="s">
        <v>15</v>
      </c>
      <c r="I484" s="3" t="str">
        <f>"1"</f>
        <v>1</v>
      </c>
      <c r="J484" s="3">
        <v>512521.97</v>
      </c>
      <c r="K484" s="2">
        <v>45857</v>
      </c>
      <c r="L484" s="2">
        <v>45859</v>
      </c>
      <c r="M484" s="1" t="s">
        <v>9971</v>
      </c>
      <c r="N484" s="1" t="s">
        <v>9928</v>
      </c>
    </row>
    <row r="485" spans="1:14" x14ac:dyDescent="0.35">
      <c r="A485" s="1" t="s">
        <v>0</v>
      </c>
      <c r="B485" s="3" t="s">
        <v>3513</v>
      </c>
      <c r="C485" s="1" t="s">
        <v>3770</v>
      </c>
      <c r="D485" s="1" t="s">
        <v>9970</v>
      </c>
      <c r="E485" s="1" t="str">
        <f>"8145"</f>
        <v>8145</v>
      </c>
      <c r="F485" s="1" t="str">
        <f>"015755398"</f>
        <v>015755398</v>
      </c>
      <c r="G485" s="1" t="s">
        <v>3779</v>
      </c>
      <c r="H485" s="1" t="s">
        <v>15</v>
      </c>
      <c r="I485" s="3" t="str">
        <f>"1"</f>
        <v>1</v>
      </c>
      <c r="J485" s="3" t="str">
        <f>"9705"</f>
        <v>9705</v>
      </c>
      <c r="K485" s="2">
        <v>45853</v>
      </c>
      <c r="L485" s="2">
        <v>45853</v>
      </c>
      <c r="M485" s="1" t="s">
        <v>9968</v>
      </c>
    </row>
    <row r="486" spans="1:14" x14ac:dyDescent="0.35">
      <c r="A486" s="1" t="s">
        <v>0</v>
      </c>
      <c r="B486" s="3" t="s">
        <v>3513</v>
      </c>
      <c r="C486" s="1" t="s">
        <v>3770</v>
      </c>
      <c r="D486" s="1" t="s">
        <v>9969</v>
      </c>
      <c r="E486" s="1" t="str">
        <f>"8145"</f>
        <v>8145</v>
      </c>
      <c r="F486" s="1" t="str">
        <f>"015755398"</f>
        <v>015755398</v>
      </c>
      <c r="G486" s="1" t="s">
        <v>3779</v>
      </c>
      <c r="H486" s="1" t="s">
        <v>15</v>
      </c>
      <c r="I486" s="3" t="str">
        <f>"1"</f>
        <v>1</v>
      </c>
      <c r="J486" s="3" t="str">
        <f>"9705"</f>
        <v>9705</v>
      </c>
      <c r="K486" s="2">
        <v>45853</v>
      </c>
      <c r="L486" s="2">
        <v>45853</v>
      </c>
      <c r="M486" s="1" t="s">
        <v>9968</v>
      </c>
    </row>
    <row r="487" spans="1:14" x14ac:dyDescent="0.35">
      <c r="A487" s="1" t="s">
        <v>0</v>
      </c>
      <c r="B487" s="3" t="s">
        <v>3513</v>
      </c>
      <c r="C487" s="1" t="s">
        <v>3770</v>
      </c>
      <c r="D487" s="1" t="s">
        <v>9967</v>
      </c>
      <c r="E487" s="1" t="str">
        <f>"6115"</f>
        <v>6115</v>
      </c>
      <c r="F487" s="1" t="s">
        <v>174</v>
      </c>
      <c r="G487" s="1" t="s">
        <v>175</v>
      </c>
      <c r="H487" s="1" t="s">
        <v>15</v>
      </c>
      <c r="I487" s="3" t="str">
        <f>"1"</f>
        <v>1</v>
      </c>
      <c r="J487" s="3" t="str">
        <f>"65000"</f>
        <v>65000</v>
      </c>
      <c r="K487" s="2">
        <v>45853</v>
      </c>
      <c r="L487" s="2">
        <v>45853</v>
      </c>
      <c r="M487" s="1" t="s">
        <v>9966</v>
      </c>
    </row>
    <row r="488" spans="1:14" x14ac:dyDescent="0.35">
      <c r="A488" s="1" t="s">
        <v>0</v>
      </c>
      <c r="B488" s="3" t="s">
        <v>3513</v>
      </c>
      <c r="C488" s="1" t="s">
        <v>3770</v>
      </c>
      <c r="D488" s="1" t="s">
        <v>9965</v>
      </c>
      <c r="E488" s="1" t="str">
        <f>"3895"</f>
        <v>3895</v>
      </c>
      <c r="F488" s="1" t="s">
        <v>396</v>
      </c>
      <c r="G488" s="1" t="s">
        <v>397</v>
      </c>
      <c r="H488" s="1" t="s">
        <v>15</v>
      </c>
      <c r="I488" s="3" t="str">
        <f>"1"</f>
        <v>1</v>
      </c>
      <c r="J488" s="3" t="str">
        <f>"47507"</f>
        <v>47507</v>
      </c>
      <c r="K488" s="2">
        <v>45853</v>
      </c>
      <c r="L488" s="2">
        <v>45853</v>
      </c>
      <c r="M488" s="1" t="s">
        <v>9964</v>
      </c>
      <c r="N488" s="1" t="s">
        <v>9963</v>
      </c>
    </row>
    <row r="489" spans="1:14" x14ac:dyDescent="0.35">
      <c r="A489" s="1" t="s">
        <v>0</v>
      </c>
      <c r="B489" s="3" t="s">
        <v>3513</v>
      </c>
      <c r="C489" s="1" t="s">
        <v>3846</v>
      </c>
      <c r="D489" s="1" t="s">
        <v>9962</v>
      </c>
      <c r="E489" s="1" t="str">
        <f>"8145"</f>
        <v>8145</v>
      </c>
      <c r="F489" s="1" t="str">
        <f>"015755398"</f>
        <v>015755398</v>
      </c>
      <c r="G489" s="1" t="s">
        <v>3779</v>
      </c>
      <c r="H489" s="1" t="s">
        <v>15</v>
      </c>
      <c r="I489" s="3" t="str">
        <f>"1"</f>
        <v>1</v>
      </c>
      <c r="J489" s="3" t="str">
        <f>"9705"</f>
        <v>9705</v>
      </c>
      <c r="K489" s="2">
        <v>45853</v>
      </c>
      <c r="L489" s="2">
        <v>45853</v>
      </c>
      <c r="M489" s="1" t="s">
        <v>9961</v>
      </c>
    </row>
    <row r="490" spans="1:14" x14ac:dyDescent="0.35">
      <c r="A490" s="1" t="s">
        <v>0</v>
      </c>
      <c r="B490" s="3" t="s">
        <v>1699</v>
      </c>
      <c r="C490" s="1" t="s">
        <v>1791</v>
      </c>
      <c r="D490" s="1" t="s">
        <v>9960</v>
      </c>
      <c r="E490" s="1" t="str">
        <f>"2340"</f>
        <v>2340</v>
      </c>
      <c r="F490" s="1" t="s">
        <v>278</v>
      </c>
      <c r="G490" s="1" t="s">
        <v>279</v>
      </c>
      <c r="H490" s="1" t="s">
        <v>15</v>
      </c>
      <c r="I490" s="3" t="str">
        <f>"4"</f>
        <v>4</v>
      </c>
      <c r="J490" s="3">
        <v>12315.66</v>
      </c>
      <c r="K490" s="2">
        <v>45842</v>
      </c>
      <c r="L490" s="2">
        <v>45853</v>
      </c>
      <c r="M490" s="1" t="s">
        <v>9959</v>
      </c>
      <c r="N490" s="1" t="s">
        <v>9958</v>
      </c>
    </row>
    <row r="491" spans="1:14" x14ac:dyDescent="0.35">
      <c r="A491" s="1" t="s">
        <v>0</v>
      </c>
      <c r="B491" s="3" t="s">
        <v>3513</v>
      </c>
      <c r="C491" s="1" t="s">
        <v>3787</v>
      </c>
      <c r="D491" s="1" t="s">
        <v>9957</v>
      </c>
      <c r="E491" s="1" t="str">
        <f>"2320"</f>
        <v>2320</v>
      </c>
      <c r="F491" s="1" t="str">
        <f>"013808604"</f>
        <v>013808604</v>
      </c>
      <c r="G491" s="1" t="s">
        <v>604</v>
      </c>
      <c r="H491" s="1" t="s">
        <v>15</v>
      </c>
      <c r="I491" s="3" t="str">
        <f>"1"</f>
        <v>1</v>
      </c>
      <c r="J491" s="3" t="str">
        <f>"89900"</f>
        <v>89900</v>
      </c>
      <c r="K491" s="2">
        <v>45851</v>
      </c>
      <c r="L491" s="2">
        <v>45852</v>
      </c>
      <c r="M491" s="1" t="s">
        <v>3789</v>
      </c>
      <c r="N491" s="1" t="s">
        <v>9956</v>
      </c>
    </row>
    <row r="492" spans="1:14" x14ac:dyDescent="0.35">
      <c r="A492" s="1" t="s">
        <v>0</v>
      </c>
      <c r="B492" s="3" t="s">
        <v>3183</v>
      </c>
      <c r="C492" s="1" t="s">
        <v>3364</v>
      </c>
      <c r="D492" s="1" t="s">
        <v>9955</v>
      </c>
      <c r="E492" s="1" t="str">
        <f>"6650"</f>
        <v>6650</v>
      </c>
      <c r="F492" s="1" t="s">
        <v>3823</v>
      </c>
      <c r="G492" s="1" t="s">
        <v>3824</v>
      </c>
      <c r="H492" s="1" t="s">
        <v>15</v>
      </c>
      <c r="I492" s="3" t="str">
        <f>"1"</f>
        <v>1</v>
      </c>
      <c r="J492" s="3" t="str">
        <f>"1998"</f>
        <v>1998</v>
      </c>
      <c r="K492" s="2">
        <v>45850</v>
      </c>
      <c r="L492" s="2">
        <v>45851</v>
      </c>
      <c r="M492" s="1" t="s">
        <v>9954</v>
      </c>
      <c r="N492" s="1" t="s">
        <v>9953</v>
      </c>
    </row>
    <row r="493" spans="1:14" x14ac:dyDescent="0.35">
      <c r="A493" s="1" t="s">
        <v>0</v>
      </c>
      <c r="B493" s="3" t="s">
        <v>1437</v>
      </c>
      <c r="C493" s="1" t="s">
        <v>1438</v>
      </c>
      <c r="D493" s="1" t="s">
        <v>9952</v>
      </c>
      <c r="E493" s="1" t="str">
        <f>"4240"</f>
        <v>4240</v>
      </c>
      <c r="F493" s="1" t="str">
        <f>"011869769"</f>
        <v>011869769</v>
      </c>
      <c r="G493" s="1" t="s">
        <v>6415</v>
      </c>
      <c r="H493" s="1" t="s">
        <v>15</v>
      </c>
      <c r="I493" s="3" t="str">
        <f>"8"</f>
        <v>8</v>
      </c>
      <c r="J493" s="3">
        <v>152.99</v>
      </c>
      <c r="K493" s="2">
        <v>45840</v>
      </c>
      <c r="L493" s="2">
        <v>45848</v>
      </c>
      <c r="M493" s="1" t="s">
        <v>9951</v>
      </c>
      <c r="N493" s="1" t="s">
        <v>9950</v>
      </c>
    </row>
    <row r="494" spans="1:14" x14ac:dyDescent="0.35">
      <c r="A494" s="1" t="s">
        <v>0</v>
      </c>
      <c r="B494" s="3" t="s">
        <v>3105</v>
      </c>
      <c r="C494" s="1" t="s">
        <v>3106</v>
      </c>
      <c r="D494" s="1" t="s">
        <v>9949</v>
      </c>
      <c r="E494" s="1" t="str">
        <f>"4910"</f>
        <v>4910</v>
      </c>
      <c r="F494" s="1" t="str">
        <f>"013539944"</f>
        <v>013539944</v>
      </c>
      <c r="G494" s="1" t="s">
        <v>5061</v>
      </c>
      <c r="H494" s="1" t="s">
        <v>15</v>
      </c>
      <c r="I494" s="3" t="str">
        <f>"1"</f>
        <v>1</v>
      </c>
      <c r="J494" s="3">
        <v>518.38</v>
      </c>
      <c r="K494" s="2">
        <v>45847</v>
      </c>
      <c r="L494" s="2">
        <v>45847</v>
      </c>
      <c r="M494" s="1" t="s">
        <v>9948</v>
      </c>
      <c r="N494" s="1" t="s">
        <v>9947</v>
      </c>
    </row>
    <row r="495" spans="1:14" x14ac:dyDescent="0.35">
      <c r="A495" s="1" t="s">
        <v>0</v>
      </c>
      <c r="B495" s="3" t="s">
        <v>3513</v>
      </c>
      <c r="C495" s="1" t="s">
        <v>7518</v>
      </c>
      <c r="D495" s="1" t="s">
        <v>9946</v>
      </c>
      <c r="E495" s="1" t="str">
        <f>"6515"</f>
        <v>6515</v>
      </c>
      <c r="F495" s="1" t="str">
        <f>"015892321"</f>
        <v>015892321</v>
      </c>
      <c r="G495" s="1" t="s">
        <v>2790</v>
      </c>
      <c r="H495" s="1" t="s">
        <v>15</v>
      </c>
      <c r="I495" s="3" t="str">
        <f>"1"</f>
        <v>1</v>
      </c>
      <c r="J495" s="3">
        <v>1402.36</v>
      </c>
      <c r="K495" s="2">
        <v>45847</v>
      </c>
      <c r="L495" s="2">
        <v>45847</v>
      </c>
      <c r="M495" s="1" t="s">
        <v>9944</v>
      </c>
      <c r="N495" s="1" t="s">
        <v>9943</v>
      </c>
    </row>
    <row r="496" spans="1:14" x14ac:dyDescent="0.35">
      <c r="A496" s="1" t="s">
        <v>0</v>
      </c>
      <c r="B496" s="3" t="s">
        <v>3513</v>
      </c>
      <c r="C496" s="1" t="s">
        <v>7518</v>
      </c>
      <c r="D496" s="1" t="s">
        <v>9945</v>
      </c>
      <c r="E496" s="1" t="str">
        <f>"6515"</f>
        <v>6515</v>
      </c>
      <c r="F496" s="1" t="str">
        <f>"015892321"</f>
        <v>015892321</v>
      </c>
      <c r="G496" s="1" t="s">
        <v>2790</v>
      </c>
      <c r="H496" s="1" t="s">
        <v>15</v>
      </c>
      <c r="I496" s="3" t="str">
        <f>"1"</f>
        <v>1</v>
      </c>
      <c r="J496" s="3">
        <v>1402.36</v>
      </c>
      <c r="K496" s="2">
        <v>45847</v>
      </c>
      <c r="L496" s="2">
        <v>45847</v>
      </c>
      <c r="M496" s="1" t="s">
        <v>9944</v>
      </c>
      <c r="N496" s="1" t="s">
        <v>9943</v>
      </c>
    </row>
    <row r="497" spans="1:14" x14ac:dyDescent="0.35">
      <c r="A497" s="1" t="s">
        <v>0</v>
      </c>
      <c r="B497" s="3" t="s">
        <v>806</v>
      </c>
      <c r="C497" s="1" t="s">
        <v>1079</v>
      </c>
      <c r="D497" s="1" t="s">
        <v>9942</v>
      </c>
      <c r="E497" s="1" t="str">
        <f>"7025"</f>
        <v>7025</v>
      </c>
      <c r="F497" s="1" t="s">
        <v>836</v>
      </c>
      <c r="G497" s="1" t="s">
        <v>837</v>
      </c>
      <c r="H497" s="1" t="s">
        <v>15</v>
      </c>
      <c r="I497" s="3" t="str">
        <f>"5"</f>
        <v>5</v>
      </c>
      <c r="J497" s="3" t="str">
        <f>"125"</f>
        <v>125</v>
      </c>
      <c r="K497" s="2">
        <v>45847</v>
      </c>
      <c r="L497" s="2">
        <v>45847</v>
      </c>
      <c r="M497" s="1" t="s">
        <v>9941</v>
      </c>
      <c r="N497" s="1" t="s">
        <v>9940</v>
      </c>
    </row>
    <row r="498" spans="1:14" x14ac:dyDescent="0.35">
      <c r="A498" s="1" t="s">
        <v>0</v>
      </c>
      <c r="B498" s="3" t="s">
        <v>2145</v>
      </c>
      <c r="C498" s="1" t="s">
        <v>2146</v>
      </c>
      <c r="D498" s="1" t="s">
        <v>9939</v>
      </c>
      <c r="E498" s="1" t="str">
        <f>"5965"</f>
        <v>5965</v>
      </c>
      <c r="F498" s="1" t="str">
        <f>"226297499"</f>
        <v>226297499</v>
      </c>
      <c r="G498" s="1" t="s">
        <v>22</v>
      </c>
      <c r="H498" s="1" t="s">
        <v>15</v>
      </c>
      <c r="I498" s="3" t="str">
        <f>"14"</f>
        <v>14</v>
      </c>
      <c r="J498" s="3">
        <v>2219.81</v>
      </c>
      <c r="K498" s="2">
        <v>45845</v>
      </c>
      <c r="L498" s="2">
        <v>45845</v>
      </c>
      <c r="M498" s="1" t="s">
        <v>9938</v>
      </c>
      <c r="N498" s="1" t="s">
        <v>9937</v>
      </c>
    </row>
    <row r="499" spans="1:14" x14ac:dyDescent="0.35">
      <c r="A499" s="1" t="s">
        <v>0</v>
      </c>
      <c r="B499" s="3" t="s">
        <v>3183</v>
      </c>
      <c r="C499" s="1" t="s">
        <v>3256</v>
      </c>
      <c r="D499" s="1" t="s">
        <v>9936</v>
      </c>
      <c r="E499" s="1" t="str">
        <f>"2330"</f>
        <v>2330</v>
      </c>
      <c r="F499" s="1" t="s">
        <v>70</v>
      </c>
      <c r="G499" s="1" t="s">
        <v>71</v>
      </c>
      <c r="H499" s="1" t="s">
        <v>15</v>
      </c>
      <c r="I499" s="3" t="str">
        <f>"1"</f>
        <v>1</v>
      </c>
      <c r="J499" s="3" t="str">
        <f>"86023"</f>
        <v>86023</v>
      </c>
      <c r="K499" s="2">
        <v>45843</v>
      </c>
      <c r="L499" s="2">
        <v>45845</v>
      </c>
      <c r="M499" s="1" t="s">
        <v>9935</v>
      </c>
      <c r="N499" s="1" t="s">
        <v>9934</v>
      </c>
    </row>
    <row r="500" spans="1:14" x14ac:dyDescent="0.35">
      <c r="A500" s="1" t="s">
        <v>0</v>
      </c>
      <c r="B500" s="3" t="s">
        <v>3183</v>
      </c>
      <c r="C500" s="1" t="s">
        <v>3357</v>
      </c>
      <c r="D500" s="1" t="s">
        <v>9933</v>
      </c>
      <c r="E500" s="1" t="str">
        <f>"2330"</f>
        <v>2330</v>
      </c>
      <c r="F500" s="1" t="s">
        <v>70</v>
      </c>
      <c r="G500" s="1" t="s">
        <v>71</v>
      </c>
      <c r="H500" s="1" t="s">
        <v>15</v>
      </c>
      <c r="I500" s="3" t="str">
        <f>"1"</f>
        <v>1</v>
      </c>
      <c r="J500" s="3" t="str">
        <f>"86023"</f>
        <v>86023</v>
      </c>
      <c r="K500" s="2">
        <v>45843</v>
      </c>
      <c r="L500" s="2">
        <v>45845</v>
      </c>
      <c r="M500" s="1" t="s">
        <v>9932</v>
      </c>
      <c r="N500" s="1" t="s">
        <v>9931</v>
      </c>
    </row>
    <row r="501" spans="1:14" x14ac:dyDescent="0.35">
      <c r="A501" s="1" t="s">
        <v>0</v>
      </c>
      <c r="B501" s="3" t="s">
        <v>3105</v>
      </c>
      <c r="C501" s="1" t="s">
        <v>3154</v>
      </c>
      <c r="D501" s="1" t="s">
        <v>9930</v>
      </c>
      <c r="E501" s="1" t="str">
        <f>"2330"</f>
        <v>2330</v>
      </c>
      <c r="F501" s="1" t="s">
        <v>70</v>
      </c>
      <c r="G501" s="1" t="s">
        <v>71</v>
      </c>
      <c r="H501" s="1" t="s">
        <v>15</v>
      </c>
      <c r="I501" s="3" t="str">
        <f>"1"</f>
        <v>1</v>
      </c>
      <c r="J501" s="3" t="str">
        <f>"86023"</f>
        <v>86023</v>
      </c>
      <c r="K501" s="2">
        <v>45843</v>
      </c>
      <c r="L501" s="2">
        <v>45845</v>
      </c>
      <c r="M501" s="1" t="s">
        <v>9929</v>
      </c>
      <c r="N501" s="1" t="s">
        <v>9928</v>
      </c>
    </row>
    <row r="502" spans="1:14" x14ac:dyDescent="0.35">
      <c r="A502" s="1" t="s">
        <v>0</v>
      </c>
      <c r="B502" s="3" t="s">
        <v>3885</v>
      </c>
      <c r="C502" s="1" t="s">
        <v>4022</v>
      </c>
      <c r="D502" s="1" t="s">
        <v>9927</v>
      </c>
      <c r="E502" s="1" t="str">
        <f>"2330"</f>
        <v>2330</v>
      </c>
      <c r="F502" s="1" t="s">
        <v>70</v>
      </c>
      <c r="G502" s="1" t="s">
        <v>71</v>
      </c>
      <c r="H502" s="1" t="s">
        <v>15</v>
      </c>
      <c r="I502" s="3" t="str">
        <f>"1"</f>
        <v>1</v>
      </c>
      <c r="J502" s="3" t="str">
        <f>"86023"</f>
        <v>86023</v>
      </c>
      <c r="K502" s="2">
        <v>45843</v>
      </c>
      <c r="L502" s="2">
        <v>45845</v>
      </c>
      <c r="M502" s="1" t="s">
        <v>9926</v>
      </c>
      <c r="N502" s="1" t="s">
        <v>9925</v>
      </c>
    </row>
    <row r="503" spans="1:14" x14ac:dyDescent="0.35">
      <c r="A503" s="1" t="s">
        <v>0</v>
      </c>
      <c r="B503" s="3" t="s">
        <v>3885</v>
      </c>
      <c r="C503" s="1" t="s">
        <v>4022</v>
      </c>
      <c r="D503" s="1" t="s">
        <v>9924</v>
      </c>
      <c r="E503" s="1" t="str">
        <f>"2410"</f>
        <v>2410</v>
      </c>
      <c r="F503" s="1" t="str">
        <f>"001859792"</f>
        <v>001859792</v>
      </c>
      <c r="G503" s="1" t="s">
        <v>2233</v>
      </c>
      <c r="H503" s="1" t="s">
        <v>15</v>
      </c>
      <c r="I503" s="3" t="str">
        <f>"1"</f>
        <v>1</v>
      </c>
      <c r="J503" s="3" t="str">
        <f>"72325"</f>
        <v>72325</v>
      </c>
      <c r="K503" s="2">
        <v>45843</v>
      </c>
      <c r="L503" s="2">
        <v>45845</v>
      </c>
      <c r="M503" s="1" t="s">
        <v>9923</v>
      </c>
      <c r="N503" s="1" t="s">
        <v>9922</v>
      </c>
    </row>
    <row r="504" spans="1:14" x14ac:dyDescent="0.35">
      <c r="A504" s="1" t="s">
        <v>0</v>
      </c>
      <c r="B504" s="3" t="s">
        <v>2494</v>
      </c>
      <c r="C504" s="1" t="s">
        <v>6762</v>
      </c>
      <c r="D504" s="1" t="s">
        <v>9921</v>
      </c>
      <c r="E504" s="1" t="str">
        <f>"2330"</f>
        <v>2330</v>
      </c>
      <c r="F504" s="1" t="s">
        <v>70</v>
      </c>
      <c r="G504" s="1" t="s">
        <v>71</v>
      </c>
      <c r="H504" s="1" t="s">
        <v>15</v>
      </c>
      <c r="I504" s="3" t="str">
        <f>"1"</f>
        <v>1</v>
      </c>
      <c r="J504" s="3" t="str">
        <f>"86023"</f>
        <v>86023</v>
      </c>
      <c r="K504" s="2">
        <v>45843</v>
      </c>
      <c r="L504" s="2">
        <v>45845</v>
      </c>
      <c r="M504" s="1" t="s">
        <v>9920</v>
      </c>
      <c r="N504" s="1" t="s">
        <v>9919</v>
      </c>
    </row>
    <row r="505" spans="1:14" x14ac:dyDescent="0.35">
      <c r="A505" s="1" t="s">
        <v>0</v>
      </c>
      <c r="B505" s="3" t="s">
        <v>3183</v>
      </c>
      <c r="C505" s="1" t="s">
        <v>3233</v>
      </c>
      <c r="D505" s="1" t="s">
        <v>9918</v>
      </c>
      <c r="E505" s="1" t="str">
        <f>"5855"</f>
        <v>5855</v>
      </c>
      <c r="F505" s="1" t="str">
        <f>"016177586"</f>
        <v>016177586</v>
      </c>
      <c r="G505" s="1" t="s">
        <v>1881</v>
      </c>
      <c r="H505" s="1" t="s">
        <v>15</v>
      </c>
      <c r="I505" s="3" t="str">
        <f>"1"</f>
        <v>1</v>
      </c>
      <c r="J505" s="3" t="str">
        <f>"1400000"</f>
        <v>1400000</v>
      </c>
      <c r="K505" s="2">
        <v>45841</v>
      </c>
      <c r="L505" s="2">
        <v>45845</v>
      </c>
      <c r="M505" s="1" t="s">
        <v>9917</v>
      </c>
      <c r="N505" s="1" t="s">
        <v>9916</v>
      </c>
    </row>
    <row r="506" spans="1:14" x14ac:dyDescent="0.35">
      <c r="A506" s="1" t="s">
        <v>0</v>
      </c>
      <c r="B506" s="3" t="s">
        <v>1699</v>
      </c>
      <c r="C506" s="1" t="s">
        <v>1795</v>
      </c>
      <c r="D506" s="1" t="s">
        <v>9915</v>
      </c>
      <c r="E506" s="1" t="str">
        <f>"2320"</f>
        <v>2320</v>
      </c>
      <c r="F506" s="1" t="str">
        <f>"009263589"</f>
        <v>009263589</v>
      </c>
      <c r="G506" s="1" t="s">
        <v>114</v>
      </c>
      <c r="H506" s="1" t="s">
        <v>15</v>
      </c>
      <c r="I506" s="3" t="str">
        <f>"1"</f>
        <v>1</v>
      </c>
      <c r="J506" s="3" t="str">
        <f>"28829"</f>
        <v>28829</v>
      </c>
      <c r="K506" s="2">
        <v>45841</v>
      </c>
      <c r="L506" s="2">
        <v>45845</v>
      </c>
      <c r="M506" s="1" t="s">
        <v>9914</v>
      </c>
      <c r="N506" s="1" t="s">
        <v>9913</v>
      </c>
    </row>
    <row r="507" spans="1:14" x14ac:dyDescent="0.35">
      <c r="A507" s="1" t="s">
        <v>0</v>
      </c>
      <c r="B507" s="3" t="s">
        <v>1944</v>
      </c>
      <c r="C507" s="1" t="s">
        <v>9912</v>
      </c>
      <c r="D507" s="1" t="s">
        <v>9911</v>
      </c>
      <c r="E507" s="1" t="str">
        <f>"2350"</f>
        <v>2350</v>
      </c>
      <c r="F507" s="1" t="str">
        <f>"015548159"</f>
        <v>015548159</v>
      </c>
      <c r="G507" s="1" t="s">
        <v>9910</v>
      </c>
      <c r="H507" s="1" t="s">
        <v>15</v>
      </c>
      <c r="I507" s="3" t="str">
        <f>"1"</f>
        <v>1</v>
      </c>
      <c r="J507" s="3" t="str">
        <f>"120000"</f>
        <v>120000</v>
      </c>
      <c r="K507" s="2">
        <v>45840</v>
      </c>
      <c r="L507" s="2">
        <v>45841</v>
      </c>
      <c r="M507" s="1" t="s">
        <v>9909</v>
      </c>
      <c r="N507" s="1" t="s">
        <v>9908</v>
      </c>
    </row>
    <row r="508" spans="1:14" x14ac:dyDescent="0.35">
      <c r="A508" s="1" t="s">
        <v>0</v>
      </c>
      <c r="B508" s="3" t="s">
        <v>3885</v>
      </c>
      <c r="C508" s="1" t="s">
        <v>4439</v>
      </c>
      <c r="D508" s="1" t="s">
        <v>9907</v>
      </c>
      <c r="E508" s="1" t="str">
        <f>"5855"</f>
        <v>5855</v>
      </c>
      <c r="F508" s="1" t="str">
        <f>"016632561"</f>
        <v>016632561</v>
      </c>
      <c r="G508" s="1" t="s">
        <v>4437</v>
      </c>
      <c r="H508" s="1" t="s">
        <v>15</v>
      </c>
      <c r="I508" s="3" t="str">
        <f>"1"</f>
        <v>1</v>
      </c>
      <c r="J508" s="3" t="str">
        <f>"3500"</f>
        <v>3500</v>
      </c>
      <c r="K508" s="2">
        <v>45839</v>
      </c>
      <c r="L508" s="2">
        <v>45840</v>
      </c>
      <c r="M508" s="1" t="s">
        <v>9906</v>
      </c>
      <c r="N508" s="1" t="s">
        <v>9905</v>
      </c>
    </row>
    <row r="509" spans="1:14" x14ac:dyDescent="0.35">
      <c r="A509" s="1" t="s">
        <v>4321</v>
      </c>
      <c r="B509" s="3" t="s">
        <v>2494</v>
      </c>
      <c r="C509" s="1" t="s">
        <v>9469</v>
      </c>
      <c r="D509" s="1" t="s">
        <v>9904</v>
      </c>
      <c r="E509" s="1" t="str">
        <f>"2340"</f>
        <v>2340</v>
      </c>
      <c r="F509" s="1" t="s">
        <v>2003</v>
      </c>
      <c r="G509" s="1" t="s">
        <v>2004</v>
      </c>
      <c r="H509" s="1" t="s">
        <v>15</v>
      </c>
      <c r="I509" s="3" t="str">
        <f>"1"</f>
        <v>1</v>
      </c>
      <c r="J509" s="3" t="str">
        <f>"10000"</f>
        <v>10000</v>
      </c>
      <c r="K509" s="2">
        <v>45928</v>
      </c>
      <c r="L509" s="2">
        <v>45929</v>
      </c>
      <c r="M509" s="1" t="s">
        <v>9903</v>
      </c>
      <c r="N509" s="1" t="s">
        <v>9902</v>
      </c>
    </row>
    <row r="510" spans="1:14" x14ac:dyDescent="0.35">
      <c r="A510" s="1" t="s">
        <v>4321</v>
      </c>
      <c r="B510" s="3" t="s">
        <v>2494</v>
      </c>
      <c r="C510" s="1" t="s">
        <v>9469</v>
      </c>
      <c r="D510" s="1" t="s">
        <v>9904</v>
      </c>
      <c r="E510" s="1" t="str">
        <f>"2340"</f>
        <v>2340</v>
      </c>
      <c r="F510" s="1" t="s">
        <v>2003</v>
      </c>
      <c r="G510" s="1" t="s">
        <v>2004</v>
      </c>
      <c r="H510" s="1" t="s">
        <v>15</v>
      </c>
      <c r="I510" s="3" t="str">
        <f>"1"</f>
        <v>1</v>
      </c>
      <c r="J510" s="3" t="str">
        <f>"10000"</f>
        <v>10000</v>
      </c>
      <c r="K510" s="2">
        <v>45928</v>
      </c>
      <c r="L510" s="2">
        <v>45929</v>
      </c>
      <c r="M510" s="1" t="s">
        <v>9903</v>
      </c>
      <c r="N510" s="1" t="s">
        <v>9902</v>
      </c>
    </row>
    <row r="511" spans="1:14" x14ac:dyDescent="0.35">
      <c r="A511" s="1" t="s">
        <v>4321</v>
      </c>
      <c r="B511" s="3" t="s">
        <v>2145</v>
      </c>
      <c r="C511" s="1" t="s">
        <v>9149</v>
      </c>
      <c r="D511" s="1" t="s">
        <v>9901</v>
      </c>
      <c r="E511" s="1" t="str">
        <f>"2320"</f>
        <v>2320</v>
      </c>
      <c r="F511" s="1" t="str">
        <f>"015303843"</f>
        <v>015303843</v>
      </c>
      <c r="G511" s="1" t="s">
        <v>373</v>
      </c>
      <c r="H511" s="1" t="s">
        <v>15</v>
      </c>
      <c r="I511" s="3" t="str">
        <f>"1"</f>
        <v>1</v>
      </c>
      <c r="J511" s="3" t="str">
        <f>"218378"</f>
        <v>218378</v>
      </c>
      <c r="K511" s="2">
        <v>45927</v>
      </c>
      <c r="L511" s="2">
        <v>45929</v>
      </c>
      <c r="M511" s="1" t="s">
        <v>9900</v>
      </c>
    </row>
    <row r="512" spans="1:14" x14ac:dyDescent="0.35">
      <c r="A512" s="1" t="s">
        <v>4321</v>
      </c>
      <c r="B512" s="3" t="s">
        <v>2145</v>
      </c>
      <c r="C512" s="1" t="s">
        <v>9149</v>
      </c>
      <c r="D512" s="1" t="s">
        <v>9899</v>
      </c>
      <c r="E512" s="1" t="str">
        <f>"1005"</f>
        <v>1005</v>
      </c>
      <c r="F512" s="1" t="str">
        <f>"015617200"</f>
        <v>015617200</v>
      </c>
      <c r="G512" s="1" t="s">
        <v>4601</v>
      </c>
      <c r="H512" s="1" t="s">
        <v>15</v>
      </c>
      <c r="I512" s="3" t="str">
        <f>"150"</f>
        <v>150</v>
      </c>
      <c r="J512" s="3">
        <v>16.170000000000002</v>
      </c>
      <c r="K512" s="2">
        <v>45922</v>
      </c>
      <c r="L512" s="2">
        <v>45929</v>
      </c>
      <c r="M512" s="1" t="s">
        <v>9898</v>
      </c>
      <c r="N512" s="1" t="s">
        <v>9897</v>
      </c>
    </row>
    <row r="513" spans="1:14" x14ac:dyDescent="0.35">
      <c r="A513" s="1" t="s">
        <v>4321</v>
      </c>
      <c r="B513" s="3" t="s">
        <v>3183</v>
      </c>
      <c r="C513" s="1" t="s">
        <v>3297</v>
      </c>
      <c r="D513" s="1" t="s">
        <v>9896</v>
      </c>
      <c r="E513" s="1" t="str">
        <f>"3810"</f>
        <v>3810</v>
      </c>
      <c r="F513" s="1" t="s">
        <v>9210</v>
      </c>
      <c r="G513" s="1" t="s">
        <v>9209</v>
      </c>
      <c r="H513" s="1" t="s">
        <v>15</v>
      </c>
      <c r="I513" s="3" t="str">
        <f>"1"</f>
        <v>1</v>
      </c>
      <c r="J513" s="3" t="str">
        <f>"10000"</f>
        <v>10000</v>
      </c>
      <c r="K513" s="2">
        <v>45916</v>
      </c>
      <c r="L513" s="2">
        <v>45929</v>
      </c>
      <c r="M513" s="1" t="s">
        <v>9895</v>
      </c>
      <c r="N513" s="1" t="s">
        <v>9894</v>
      </c>
    </row>
    <row r="514" spans="1:14" x14ac:dyDescent="0.35">
      <c r="A514" s="1" t="s">
        <v>4321</v>
      </c>
      <c r="B514" s="3" t="s">
        <v>1857</v>
      </c>
      <c r="C514" s="1" t="s">
        <v>1897</v>
      </c>
      <c r="D514" s="1" t="s">
        <v>9893</v>
      </c>
      <c r="E514" s="1" t="str">
        <f>"5440"</f>
        <v>5440</v>
      </c>
      <c r="F514" s="1" t="s">
        <v>1877</v>
      </c>
      <c r="G514" s="1" t="s">
        <v>1878</v>
      </c>
      <c r="H514" s="1" t="s">
        <v>15</v>
      </c>
      <c r="I514" s="3" t="str">
        <f>"2"</f>
        <v>2</v>
      </c>
      <c r="J514" s="3">
        <v>711.26</v>
      </c>
      <c r="K514" s="2">
        <v>45902</v>
      </c>
      <c r="L514" s="2">
        <v>45929</v>
      </c>
      <c r="M514" s="1" t="s">
        <v>8582</v>
      </c>
      <c r="N514" s="1" t="s">
        <v>9892</v>
      </c>
    </row>
    <row r="515" spans="1:14" x14ac:dyDescent="0.35">
      <c r="A515" s="1" t="s">
        <v>4321</v>
      </c>
      <c r="B515" s="3" t="s">
        <v>806</v>
      </c>
      <c r="C515" s="1" t="s">
        <v>5544</v>
      </c>
      <c r="D515" s="1" t="s">
        <v>9891</v>
      </c>
      <c r="E515" s="1" t="str">
        <f>"7035"</f>
        <v>7035</v>
      </c>
      <c r="F515" s="1" t="s">
        <v>9890</v>
      </c>
      <c r="G515" s="1" t="s">
        <v>9889</v>
      </c>
      <c r="H515" s="1" t="s">
        <v>15</v>
      </c>
      <c r="I515" s="3" t="str">
        <f>"7"</f>
        <v>7</v>
      </c>
      <c r="J515" s="3">
        <v>222.63</v>
      </c>
      <c r="K515" s="2">
        <v>45901</v>
      </c>
      <c r="L515" s="2">
        <v>45929</v>
      </c>
      <c r="M515" s="1" t="s">
        <v>9886</v>
      </c>
      <c r="N515" s="1" t="s">
        <v>9888</v>
      </c>
    </row>
    <row r="516" spans="1:14" x14ac:dyDescent="0.35">
      <c r="A516" s="1" t="s">
        <v>4321</v>
      </c>
      <c r="B516" s="3" t="s">
        <v>806</v>
      </c>
      <c r="C516" s="1" t="s">
        <v>5544</v>
      </c>
      <c r="D516" s="1" t="s">
        <v>9887</v>
      </c>
      <c r="E516" s="1" t="str">
        <f>"7035"</f>
        <v>7035</v>
      </c>
      <c r="F516" s="1" t="s">
        <v>3836</v>
      </c>
      <c r="G516" s="1" t="s">
        <v>3837</v>
      </c>
      <c r="H516" s="1" t="s">
        <v>15</v>
      </c>
      <c r="I516" s="3" t="str">
        <f>"2"</f>
        <v>2</v>
      </c>
      <c r="J516" s="3" t="str">
        <f>"5000"</f>
        <v>5000</v>
      </c>
      <c r="K516" s="2">
        <v>45901</v>
      </c>
      <c r="L516" s="2">
        <v>45929</v>
      </c>
      <c r="M516" s="1" t="s">
        <v>9886</v>
      </c>
      <c r="N516" s="1" t="s">
        <v>9885</v>
      </c>
    </row>
    <row r="517" spans="1:14" x14ac:dyDescent="0.35">
      <c r="A517" s="1" t="s">
        <v>4321</v>
      </c>
      <c r="B517" s="3" t="s">
        <v>2720</v>
      </c>
      <c r="C517" s="1" t="s">
        <v>2779</v>
      </c>
      <c r="D517" s="1" t="s">
        <v>9884</v>
      </c>
      <c r="E517" s="1" t="str">
        <f>"5180"</f>
        <v>5180</v>
      </c>
      <c r="F517" s="1" t="str">
        <f>"016282376"</f>
        <v>016282376</v>
      </c>
      <c r="G517" s="1" t="s">
        <v>3078</v>
      </c>
      <c r="H517" s="1" t="s">
        <v>19</v>
      </c>
      <c r="I517" s="3" t="str">
        <f>"2"</f>
        <v>2</v>
      </c>
      <c r="J517" s="3" t="str">
        <f>"7270"</f>
        <v>7270</v>
      </c>
      <c r="K517" s="2">
        <v>45896</v>
      </c>
      <c r="L517" s="2">
        <v>45929</v>
      </c>
      <c r="M517" s="1" t="s">
        <v>9883</v>
      </c>
      <c r="N517" s="1" t="s">
        <v>9882</v>
      </c>
    </row>
    <row r="518" spans="1:14" x14ac:dyDescent="0.35">
      <c r="A518" s="1" t="s">
        <v>4321</v>
      </c>
      <c r="B518" s="3" t="s">
        <v>2720</v>
      </c>
      <c r="C518" s="1" t="s">
        <v>2770</v>
      </c>
      <c r="D518" s="1" t="s">
        <v>9881</v>
      </c>
      <c r="E518" s="1" t="str">
        <f>"8145"</f>
        <v>8145</v>
      </c>
      <c r="F518" s="1" t="s">
        <v>1602</v>
      </c>
      <c r="G518" s="1" t="s">
        <v>1603</v>
      </c>
      <c r="H518" s="1" t="s">
        <v>15</v>
      </c>
      <c r="I518" s="3" t="str">
        <f>"15"</f>
        <v>15</v>
      </c>
      <c r="J518" s="3" t="str">
        <f>"200"</f>
        <v>200</v>
      </c>
      <c r="K518" s="2">
        <v>45892</v>
      </c>
      <c r="L518" s="2">
        <v>45929</v>
      </c>
      <c r="M518" s="1" t="s">
        <v>9880</v>
      </c>
      <c r="N518" s="1" t="s">
        <v>9879</v>
      </c>
    </row>
    <row r="519" spans="1:14" x14ac:dyDescent="0.35">
      <c r="A519" s="1" t="s">
        <v>4321</v>
      </c>
      <c r="B519" s="3" t="s">
        <v>2114</v>
      </c>
      <c r="C519" s="1" t="s">
        <v>4603</v>
      </c>
      <c r="D519" s="1" t="s">
        <v>9878</v>
      </c>
      <c r="E519" s="1" t="str">
        <f>"1005"</f>
        <v>1005</v>
      </c>
      <c r="F519" s="1" t="str">
        <f>"016309508"</f>
        <v>016309508</v>
      </c>
      <c r="G519" s="1" t="s">
        <v>4601</v>
      </c>
      <c r="H519" s="1" t="s">
        <v>15</v>
      </c>
      <c r="I519" s="3" t="str">
        <f>"3"</f>
        <v>3</v>
      </c>
      <c r="J519" s="3">
        <v>13.99</v>
      </c>
      <c r="K519" s="2">
        <v>45888</v>
      </c>
      <c r="L519" s="2">
        <v>45929</v>
      </c>
      <c r="M519" s="1" t="s">
        <v>8542</v>
      </c>
      <c r="N519" s="1" t="s">
        <v>9877</v>
      </c>
    </row>
    <row r="520" spans="1:14" x14ac:dyDescent="0.35">
      <c r="A520" s="1" t="s">
        <v>4321</v>
      </c>
      <c r="B520" s="3" t="s">
        <v>1848</v>
      </c>
      <c r="C520" s="1" t="s">
        <v>1849</v>
      </c>
      <c r="D520" s="1" t="s">
        <v>9876</v>
      </c>
      <c r="E520" s="1" t="str">
        <f>"3920"</f>
        <v>3920</v>
      </c>
      <c r="F520" s="1" t="str">
        <f>"016298728"</f>
        <v>016298728</v>
      </c>
      <c r="G520" s="1" t="s">
        <v>5229</v>
      </c>
      <c r="H520" s="1" t="s">
        <v>19</v>
      </c>
      <c r="I520" s="3" t="str">
        <f>"1"</f>
        <v>1</v>
      </c>
      <c r="J520" s="3">
        <v>9566.99</v>
      </c>
      <c r="K520" s="2">
        <v>45927</v>
      </c>
      <c r="L520" s="2">
        <v>45928</v>
      </c>
      <c r="M520" s="1" t="s">
        <v>9875</v>
      </c>
      <c r="N520" s="1" t="s">
        <v>4343</v>
      </c>
    </row>
    <row r="521" spans="1:14" x14ac:dyDescent="0.35">
      <c r="A521" s="1" t="s">
        <v>4321</v>
      </c>
      <c r="B521" s="3" t="s">
        <v>1437</v>
      </c>
      <c r="C521" s="1" t="s">
        <v>9141</v>
      </c>
      <c r="D521" s="1" t="s">
        <v>9874</v>
      </c>
      <c r="E521" s="1" t="str">
        <f>"9515"</f>
        <v>9515</v>
      </c>
      <c r="F521" s="1" t="s">
        <v>9873</v>
      </c>
      <c r="G521" s="1" t="s">
        <v>9872</v>
      </c>
      <c r="H521" s="1" t="s">
        <v>15</v>
      </c>
      <c r="I521" s="3" t="str">
        <f>"23"</f>
        <v>23</v>
      </c>
      <c r="J521" s="3" t="str">
        <f>"1000"</f>
        <v>1000</v>
      </c>
      <c r="K521" s="2">
        <v>45926</v>
      </c>
      <c r="L521" s="2">
        <v>45928</v>
      </c>
      <c r="M521" s="1" t="s">
        <v>9871</v>
      </c>
      <c r="N521" s="1" t="s">
        <v>4343</v>
      </c>
    </row>
    <row r="522" spans="1:14" x14ac:dyDescent="0.35">
      <c r="A522" s="1" t="s">
        <v>4321</v>
      </c>
      <c r="B522" s="3" t="s">
        <v>2000</v>
      </c>
      <c r="C522" s="1" t="s">
        <v>2051</v>
      </c>
      <c r="D522" s="1" t="s">
        <v>9870</v>
      </c>
      <c r="E522" s="1" t="str">
        <f>"8415"</f>
        <v>8415</v>
      </c>
      <c r="F522" s="1" t="str">
        <f>"015800744"</f>
        <v>015800744</v>
      </c>
      <c r="G522" s="1" t="s">
        <v>839</v>
      </c>
      <c r="H522" s="1" t="s">
        <v>15</v>
      </c>
      <c r="I522" s="3" t="str">
        <f>"10"</f>
        <v>10</v>
      </c>
      <c r="J522" s="3">
        <v>61.74</v>
      </c>
      <c r="K522" s="2">
        <v>45927</v>
      </c>
      <c r="L522" s="2">
        <v>45927</v>
      </c>
      <c r="M522" s="1" t="s">
        <v>9865</v>
      </c>
    </row>
    <row r="523" spans="1:14" x14ac:dyDescent="0.35">
      <c r="A523" s="1" t="s">
        <v>4321</v>
      </c>
      <c r="B523" s="3" t="s">
        <v>2000</v>
      </c>
      <c r="C523" s="1" t="s">
        <v>2051</v>
      </c>
      <c r="D523" s="1" t="s">
        <v>9869</v>
      </c>
      <c r="E523" s="1" t="str">
        <f>"8415"</f>
        <v>8415</v>
      </c>
      <c r="F523" s="1" t="str">
        <f>"015802468"</f>
        <v>015802468</v>
      </c>
      <c r="G523" s="1" t="s">
        <v>970</v>
      </c>
      <c r="H523" s="1" t="s">
        <v>847</v>
      </c>
      <c r="I523" s="3" t="str">
        <f>"3"</f>
        <v>3</v>
      </c>
      <c r="J523" s="3">
        <v>124.87</v>
      </c>
      <c r="K523" s="2">
        <v>45927</v>
      </c>
      <c r="L523" s="2">
        <v>45927</v>
      </c>
      <c r="M523" s="1" t="s">
        <v>9865</v>
      </c>
    </row>
    <row r="524" spans="1:14" x14ac:dyDescent="0.35">
      <c r="A524" s="1" t="s">
        <v>4321</v>
      </c>
      <c r="B524" s="3" t="s">
        <v>2000</v>
      </c>
      <c r="C524" s="1" t="s">
        <v>2051</v>
      </c>
      <c r="D524" s="1" t="s">
        <v>9868</v>
      </c>
      <c r="E524" s="1" t="str">
        <f>"8415"</f>
        <v>8415</v>
      </c>
      <c r="F524" s="1" t="str">
        <f>"015802468"</f>
        <v>015802468</v>
      </c>
      <c r="G524" s="1" t="s">
        <v>970</v>
      </c>
      <c r="H524" s="1" t="s">
        <v>847</v>
      </c>
      <c r="I524" s="3" t="str">
        <f>"3"</f>
        <v>3</v>
      </c>
      <c r="J524" s="3">
        <v>124.87</v>
      </c>
      <c r="K524" s="2">
        <v>45927</v>
      </c>
      <c r="L524" s="2">
        <v>45927</v>
      </c>
      <c r="M524" s="1" t="s">
        <v>9865</v>
      </c>
    </row>
    <row r="525" spans="1:14" x14ac:dyDescent="0.35">
      <c r="A525" s="1" t="s">
        <v>4321</v>
      </c>
      <c r="B525" s="3" t="s">
        <v>2000</v>
      </c>
      <c r="C525" s="1" t="s">
        <v>2051</v>
      </c>
      <c r="D525" s="1" t="s">
        <v>9867</v>
      </c>
      <c r="E525" s="1" t="str">
        <f>"8415"</f>
        <v>8415</v>
      </c>
      <c r="F525" s="1" t="str">
        <f>"015802497"</f>
        <v>015802497</v>
      </c>
      <c r="G525" s="1" t="s">
        <v>970</v>
      </c>
      <c r="H525" s="1" t="s">
        <v>847</v>
      </c>
      <c r="I525" s="3" t="str">
        <f>"2"</f>
        <v>2</v>
      </c>
      <c r="J525" s="3">
        <v>124.87</v>
      </c>
      <c r="K525" s="2">
        <v>45927</v>
      </c>
      <c r="L525" s="2">
        <v>45927</v>
      </c>
      <c r="M525" s="1" t="s">
        <v>9865</v>
      </c>
    </row>
    <row r="526" spans="1:14" x14ac:dyDescent="0.35">
      <c r="A526" s="1" t="s">
        <v>4321</v>
      </c>
      <c r="B526" s="3" t="s">
        <v>2000</v>
      </c>
      <c r="C526" s="1" t="s">
        <v>2051</v>
      </c>
      <c r="D526" s="1" t="s">
        <v>9866</v>
      </c>
      <c r="E526" s="1" t="str">
        <f>"8415"</f>
        <v>8415</v>
      </c>
      <c r="F526" s="1" t="str">
        <f>"015989331"</f>
        <v>015989331</v>
      </c>
      <c r="G526" s="1" t="s">
        <v>3020</v>
      </c>
      <c r="H526" s="1" t="s">
        <v>847</v>
      </c>
      <c r="I526" s="3" t="str">
        <f>"1"</f>
        <v>1</v>
      </c>
      <c r="J526" s="3">
        <v>141.36000000000001</v>
      </c>
      <c r="K526" s="2">
        <v>45927</v>
      </c>
      <c r="L526" s="2">
        <v>45927</v>
      </c>
      <c r="M526" s="1" t="s">
        <v>9865</v>
      </c>
    </row>
    <row r="527" spans="1:14" x14ac:dyDescent="0.35">
      <c r="A527" s="1" t="s">
        <v>4321</v>
      </c>
      <c r="B527" s="3" t="s">
        <v>2000</v>
      </c>
      <c r="C527" s="1" t="s">
        <v>2051</v>
      </c>
      <c r="D527" s="1" t="s">
        <v>9864</v>
      </c>
      <c r="E527" s="1" t="str">
        <f>"8415"</f>
        <v>8415</v>
      </c>
      <c r="F527" s="1" t="str">
        <f>"015800724"</f>
        <v>015800724</v>
      </c>
      <c r="G527" s="1" t="s">
        <v>839</v>
      </c>
      <c r="H527" s="1" t="s">
        <v>15</v>
      </c>
      <c r="I527" s="3" t="str">
        <f>"7"</f>
        <v>7</v>
      </c>
      <c r="J527" s="3">
        <v>61.74</v>
      </c>
      <c r="K527" s="2">
        <v>45927</v>
      </c>
      <c r="L527" s="2">
        <v>45927</v>
      </c>
      <c r="M527" s="1" t="s">
        <v>9863</v>
      </c>
    </row>
    <row r="528" spans="1:14" x14ac:dyDescent="0.35">
      <c r="A528" s="1" t="s">
        <v>4321</v>
      </c>
      <c r="B528" s="3" t="s">
        <v>2145</v>
      </c>
      <c r="C528" s="1" t="s">
        <v>9860</v>
      </c>
      <c r="D528" s="1" t="s">
        <v>9862</v>
      </c>
      <c r="E528" s="1" t="str">
        <f>"2320"</f>
        <v>2320</v>
      </c>
      <c r="F528" s="1" t="str">
        <f>"012157631"</f>
        <v>012157631</v>
      </c>
      <c r="G528" s="1" t="s">
        <v>117</v>
      </c>
      <c r="H528" s="1" t="s">
        <v>15</v>
      </c>
      <c r="I528" s="3" t="str">
        <f>"1"</f>
        <v>1</v>
      </c>
      <c r="J528" s="3" t="str">
        <f>"33082"</f>
        <v>33082</v>
      </c>
      <c r="K528" s="2">
        <v>45927</v>
      </c>
      <c r="L528" s="2">
        <v>45927</v>
      </c>
      <c r="M528" s="1" t="s">
        <v>9861</v>
      </c>
    </row>
    <row r="529" spans="1:14" x14ac:dyDescent="0.35">
      <c r="A529" s="1" t="s">
        <v>4321</v>
      </c>
      <c r="B529" s="3" t="s">
        <v>2145</v>
      </c>
      <c r="C529" s="1" t="s">
        <v>9860</v>
      </c>
      <c r="D529" s="1" t="s">
        <v>9859</v>
      </c>
      <c r="E529" s="1" t="str">
        <f>"5855"</f>
        <v>5855</v>
      </c>
      <c r="F529" s="1" t="str">
        <f>"015847217"</f>
        <v>015847217</v>
      </c>
      <c r="G529" s="1" t="s">
        <v>1942</v>
      </c>
      <c r="H529" s="1" t="s">
        <v>15</v>
      </c>
      <c r="I529" s="3" t="str">
        <f>"1"</f>
        <v>1</v>
      </c>
      <c r="J529" s="3" t="str">
        <f>"35674"</f>
        <v>35674</v>
      </c>
      <c r="K529" s="2">
        <v>45927</v>
      </c>
      <c r="L529" s="2">
        <v>45927</v>
      </c>
      <c r="M529" s="1" t="s">
        <v>9858</v>
      </c>
      <c r="N529" s="1" t="s">
        <v>4387</v>
      </c>
    </row>
    <row r="530" spans="1:14" x14ac:dyDescent="0.35">
      <c r="A530" s="1" t="s">
        <v>4321</v>
      </c>
      <c r="B530" s="3" t="s">
        <v>2248</v>
      </c>
      <c r="C530" s="1" t="s">
        <v>9855</v>
      </c>
      <c r="D530" s="1" t="s">
        <v>9857</v>
      </c>
      <c r="E530" s="1" t="str">
        <f>"8465"</f>
        <v>8465</v>
      </c>
      <c r="F530" s="1" t="s">
        <v>2516</v>
      </c>
      <c r="G530" s="1" t="s">
        <v>2517</v>
      </c>
      <c r="H530" s="1" t="s">
        <v>15</v>
      </c>
      <c r="I530" s="3" t="str">
        <f>"1"</f>
        <v>1</v>
      </c>
      <c r="J530" s="3">
        <v>97.59</v>
      </c>
      <c r="K530" s="2">
        <v>45926</v>
      </c>
      <c r="L530" s="2">
        <v>45927</v>
      </c>
      <c r="M530" s="1" t="s">
        <v>9856</v>
      </c>
      <c r="N530" s="1" t="s">
        <v>4343</v>
      </c>
    </row>
    <row r="531" spans="1:14" x14ac:dyDescent="0.35">
      <c r="A531" s="1" t="s">
        <v>4321</v>
      </c>
      <c r="B531" s="3" t="s">
        <v>2248</v>
      </c>
      <c r="C531" s="1" t="s">
        <v>9855</v>
      </c>
      <c r="D531" s="1" t="s">
        <v>9854</v>
      </c>
      <c r="E531" s="1" t="str">
        <f>"8465"</f>
        <v>8465</v>
      </c>
      <c r="F531" s="1" t="str">
        <f>"016068756"</f>
        <v>016068756</v>
      </c>
      <c r="G531" s="1" t="s">
        <v>9853</v>
      </c>
      <c r="H531" s="1" t="s">
        <v>15</v>
      </c>
      <c r="I531" s="3" t="str">
        <f>"50"</f>
        <v>50</v>
      </c>
      <c r="J531" s="3">
        <v>26.32</v>
      </c>
      <c r="K531" s="2">
        <v>45926</v>
      </c>
      <c r="L531" s="2">
        <v>45927</v>
      </c>
      <c r="M531" s="1" t="s">
        <v>9852</v>
      </c>
      <c r="N531" s="1" t="s">
        <v>4343</v>
      </c>
    </row>
    <row r="532" spans="1:14" x14ac:dyDescent="0.35">
      <c r="A532" s="1" t="s">
        <v>4321</v>
      </c>
      <c r="B532" s="3" t="s">
        <v>2248</v>
      </c>
      <c r="C532" s="1" t="s">
        <v>2278</v>
      </c>
      <c r="D532" s="1" t="s">
        <v>9851</v>
      </c>
      <c r="E532" s="1" t="str">
        <f>"6230"</f>
        <v>6230</v>
      </c>
      <c r="F532" s="1" t="str">
        <f>"015746027"</f>
        <v>015746027</v>
      </c>
      <c r="G532" s="1" t="s">
        <v>538</v>
      </c>
      <c r="H532" s="1" t="s">
        <v>15</v>
      </c>
      <c r="I532" s="3" t="str">
        <f>"30"</f>
        <v>30</v>
      </c>
      <c r="J532" s="3">
        <v>129.41999999999999</v>
      </c>
      <c r="K532" s="2">
        <v>45924</v>
      </c>
      <c r="L532" s="2">
        <v>45927</v>
      </c>
      <c r="M532" s="1" t="s">
        <v>9850</v>
      </c>
      <c r="N532" s="1" t="s">
        <v>9849</v>
      </c>
    </row>
    <row r="533" spans="1:14" x14ac:dyDescent="0.35">
      <c r="A533" s="1" t="s">
        <v>4321</v>
      </c>
      <c r="B533" s="3" t="s">
        <v>2145</v>
      </c>
      <c r="C533" s="1" t="s">
        <v>9149</v>
      </c>
      <c r="D533" s="1" t="s">
        <v>9848</v>
      </c>
      <c r="E533" s="1" t="str">
        <f>"6115"</f>
        <v>6115</v>
      </c>
      <c r="F533" s="1" t="s">
        <v>174</v>
      </c>
      <c r="G533" s="1" t="s">
        <v>175</v>
      </c>
      <c r="H533" s="1" t="s">
        <v>15</v>
      </c>
      <c r="I533" s="3" t="str">
        <f>"1"</f>
        <v>1</v>
      </c>
      <c r="J533" s="3">
        <v>1776.6</v>
      </c>
      <c r="K533" s="2">
        <v>45924</v>
      </c>
      <c r="L533" s="2">
        <v>45927</v>
      </c>
      <c r="M533" s="1" t="s">
        <v>9650</v>
      </c>
      <c r="N533" s="1" t="s">
        <v>9847</v>
      </c>
    </row>
    <row r="534" spans="1:14" x14ac:dyDescent="0.35">
      <c r="A534" s="1" t="s">
        <v>4321</v>
      </c>
      <c r="B534" s="3" t="s">
        <v>3879</v>
      </c>
      <c r="C534" s="1" t="s">
        <v>9846</v>
      </c>
      <c r="D534" s="1" t="s">
        <v>9845</v>
      </c>
      <c r="E534" s="1" t="str">
        <f>"5855"</f>
        <v>5855</v>
      </c>
      <c r="F534" s="1" t="str">
        <f>"015936375"</f>
        <v>015936375</v>
      </c>
      <c r="G534" s="1" t="s">
        <v>1904</v>
      </c>
      <c r="H534" s="1" t="s">
        <v>15</v>
      </c>
      <c r="I534" s="3" t="str">
        <f>"6"</f>
        <v>6</v>
      </c>
      <c r="J534" s="3">
        <v>702.1</v>
      </c>
      <c r="K534" s="2">
        <v>45924</v>
      </c>
      <c r="L534" s="2">
        <v>45927</v>
      </c>
      <c r="M534" s="1" t="s">
        <v>7427</v>
      </c>
      <c r="N534" s="1" t="s">
        <v>9844</v>
      </c>
    </row>
    <row r="535" spans="1:14" x14ac:dyDescent="0.35">
      <c r="A535" s="1" t="s">
        <v>4321</v>
      </c>
      <c r="B535" s="3" t="s">
        <v>1445</v>
      </c>
      <c r="C535" s="1" t="s">
        <v>1446</v>
      </c>
      <c r="D535" s="1" t="s">
        <v>9843</v>
      </c>
      <c r="E535" s="1" t="str">
        <f>"2330"</f>
        <v>2330</v>
      </c>
      <c r="F535" s="1" t="s">
        <v>5288</v>
      </c>
      <c r="G535" s="1" t="s">
        <v>5287</v>
      </c>
      <c r="H535" s="1" t="s">
        <v>15</v>
      </c>
      <c r="I535" s="3" t="str">
        <f>"1"</f>
        <v>1</v>
      </c>
      <c r="J535" s="3" t="str">
        <f>"70000"</f>
        <v>70000</v>
      </c>
      <c r="K535" s="2">
        <v>45923</v>
      </c>
      <c r="L535" s="2">
        <v>45927</v>
      </c>
      <c r="M535" s="1" t="s">
        <v>9842</v>
      </c>
      <c r="N535" s="1" t="s">
        <v>9841</v>
      </c>
    </row>
    <row r="536" spans="1:14" x14ac:dyDescent="0.35">
      <c r="A536" s="1" t="s">
        <v>4321</v>
      </c>
      <c r="B536" s="3" t="s">
        <v>2720</v>
      </c>
      <c r="C536" s="1" t="s">
        <v>2721</v>
      </c>
      <c r="D536" s="1" t="s">
        <v>9840</v>
      </c>
      <c r="E536" s="1" t="str">
        <f>"5855"</f>
        <v>5855</v>
      </c>
      <c r="F536" s="1" t="str">
        <f>"015936375"</f>
        <v>015936375</v>
      </c>
      <c r="G536" s="1" t="s">
        <v>1904</v>
      </c>
      <c r="H536" s="1" t="s">
        <v>15</v>
      </c>
      <c r="I536" s="3" t="str">
        <f>"10"</f>
        <v>10</v>
      </c>
      <c r="J536" s="3">
        <v>702.1</v>
      </c>
      <c r="K536" s="2">
        <v>45923</v>
      </c>
      <c r="L536" s="2">
        <v>45927</v>
      </c>
      <c r="M536" s="1" t="s">
        <v>9839</v>
      </c>
      <c r="N536" s="1" t="s">
        <v>9838</v>
      </c>
    </row>
    <row r="537" spans="1:14" x14ac:dyDescent="0.35">
      <c r="A537" s="1" t="s">
        <v>4321</v>
      </c>
      <c r="B537" s="3" t="s">
        <v>601</v>
      </c>
      <c r="C537" s="1" t="s">
        <v>683</v>
      </c>
      <c r="D537" s="1" t="s">
        <v>9837</v>
      </c>
      <c r="E537" s="1" t="str">
        <f>"8465"</f>
        <v>8465</v>
      </c>
      <c r="F537" s="1" t="s">
        <v>2516</v>
      </c>
      <c r="G537" s="1" t="s">
        <v>2517</v>
      </c>
      <c r="H537" s="1" t="s">
        <v>15</v>
      </c>
      <c r="I537" s="3" t="str">
        <f>"31"</f>
        <v>31</v>
      </c>
      <c r="J537" s="3" t="str">
        <f>"125"</f>
        <v>125</v>
      </c>
      <c r="K537" s="2">
        <v>45923</v>
      </c>
      <c r="L537" s="2">
        <v>45927</v>
      </c>
      <c r="M537" s="1" t="s">
        <v>9836</v>
      </c>
      <c r="N537" s="1" t="s">
        <v>9835</v>
      </c>
    </row>
    <row r="538" spans="1:14" x14ac:dyDescent="0.35">
      <c r="A538" s="1" t="s">
        <v>4321</v>
      </c>
      <c r="B538" s="3" t="s">
        <v>1437</v>
      </c>
      <c r="C538" s="1" t="s">
        <v>9141</v>
      </c>
      <c r="D538" s="1" t="s">
        <v>9834</v>
      </c>
      <c r="E538" s="1" t="str">
        <f>"4110"</f>
        <v>4110</v>
      </c>
      <c r="F538" s="1" t="s">
        <v>8320</v>
      </c>
      <c r="G538" s="1" t="s">
        <v>8319</v>
      </c>
      <c r="H538" s="1" t="s">
        <v>15</v>
      </c>
      <c r="I538" s="3" t="str">
        <f>"1"</f>
        <v>1</v>
      </c>
      <c r="J538" s="3" t="str">
        <f>"1000"</f>
        <v>1000</v>
      </c>
      <c r="K538" s="2">
        <v>45923</v>
      </c>
      <c r="L538" s="2">
        <v>45927</v>
      </c>
      <c r="M538" s="1" t="s">
        <v>9833</v>
      </c>
      <c r="N538" s="1" t="s">
        <v>9832</v>
      </c>
    </row>
    <row r="539" spans="1:14" x14ac:dyDescent="0.35">
      <c r="A539" s="1" t="s">
        <v>4321</v>
      </c>
      <c r="B539" s="3" t="s">
        <v>1317</v>
      </c>
      <c r="C539" s="1" t="s">
        <v>1364</v>
      </c>
      <c r="D539" s="1" t="s">
        <v>9831</v>
      </c>
      <c r="E539" s="1" t="str">
        <f>"4910"</f>
        <v>4910</v>
      </c>
      <c r="F539" s="1" t="str">
        <f>"016203116"</f>
        <v>016203116</v>
      </c>
      <c r="G539" s="1" t="s">
        <v>9830</v>
      </c>
      <c r="H539" s="1" t="s">
        <v>19</v>
      </c>
      <c r="I539" s="3" t="str">
        <f>"4"</f>
        <v>4</v>
      </c>
      <c r="J539" s="3">
        <v>5378.44</v>
      </c>
      <c r="K539" s="2">
        <v>45922</v>
      </c>
      <c r="L539" s="2">
        <v>45927</v>
      </c>
      <c r="M539" s="1" t="s">
        <v>9829</v>
      </c>
      <c r="N539" s="1" t="s">
        <v>9828</v>
      </c>
    </row>
    <row r="540" spans="1:14" x14ac:dyDescent="0.35">
      <c r="A540" s="1" t="s">
        <v>4321</v>
      </c>
      <c r="B540" s="3" t="s">
        <v>806</v>
      </c>
      <c r="C540" s="1" t="s">
        <v>866</v>
      </c>
      <c r="D540" s="1" t="s">
        <v>9827</v>
      </c>
      <c r="E540" s="1" t="str">
        <f>"6230"</f>
        <v>6230</v>
      </c>
      <c r="F540" s="1" t="str">
        <f>"016134312"</f>
        <v>016134312</v>
      </c>
      <c r="G540" s="1" t="s">
        <v>538</v>
      </c>
      <c r="H540" s="1" t="s">
        <v>15</v>
      </c>
      <c r="I540" s="3" t="str">
        <f>"44"</f>
        <v>44</v>
      </c>
      <c r="J540" s="3">
        <v>125.19</v>
      </c>
      <c r="K540" s="2">
        <v>45922</v>
      </c>
      <c r="L540" s="2">
        <v>45927</v>
      </c>
      <c r="M540" s="1" t="s">
        <v>9611</v>
      </c>
      <c r="N540" s="1" t="s">
        <v>9826</v>
      </c>
    </row>
    <row r="541" spans="1:14" x14ac:dyDescent="0.35">
      <c r="A541" s="1" t="s">
        <v>4321</v>
      </c>
      <c r="B541" s="3" t="s">
        <v>2248</v>
      </c>
      <c r="C541" s="1" t="s">
        <v>2265</v>
      </c>
      <c r="D541" s="1" t="s">
        <v>9825</v>
      </c>
      <c r="E541" s="1" t="str">
        <f>"8465"</f>
        <v>8465</v>
      </c>
      <c r="F541" s="1" t="str">
        <f>"016207969"</f>
        <v>016207969</v>
      </c>
      <c r="G541" s="1" t="s">
        <v>2124</v>
      </c>
      <c r="H541" s="1" t="s">
        <v>19</v>
      </c>
      <c r="I541" s="3" t="str">
        <f>"3"</f>
        <v>3</v>
      </c>
      <c r="J541" s="3">
        <v>983.95</v>
      </c>
      <c r="K541" s="2">
        <v>45922</v>
      </c>
      <c r="L541" s="2">
        <v>45927</v>
      </c>
      <c r="M541" s="1" t="s">
        <v>9824</v>
      </c>
      <c r="N541" s="1" t="s">
        <v>4343</v>
      </c>
    </row>
    <row r="542" spans="1:14" x14ac:dyDescent="0.35">
      <c r="A542" s="1" t="s">
        <v>4321</v>
      </c>
      <c r="B542" s="3" t="s">
        <v>2987</v>
      </c>
      <c r="C542" s="1" t="s">
        <v>3005</v>
      </c>
      <c r="D542" s="1" t="s">
        <v>9823</v>
      </c>
      <c r="E542" s="1" t="str">
        <f>"1730"</f>
        <v>1730</v>
      </c>
      <c r="F542" s="1" t="str">
        <f>"014242857"</f>
        <v>014242857</v>
      </c>
      <c r="G542" s="1" t="s">
        <v>4287</v>
      </c>
      <c r="H542" s="1" t="s">
        <v>15</v>
      </c>
      <c r="I542" s="3" t="str">
        <f>"1"</f>
        <v>1</v>
      </c>
      <c r="J542" s="3">
        <v>1758.95</v>
      </c>
      <c r="K542" s="2">
        <v>45922</v>
      </c>
      <c r="L542" s="2">
        <v>45927</v>
      </c>
      <c r="M542" s="1" t="s">
        <v>9822</v>
      </c>
      <c r="N542" s="1" t="s">
        <v>9821</v>
      </c>
    </row>
    <row r="543" spans="1:14" x14ac:dyDescent="0.35">
      <c r="A543" s="1" t="s">
        <v>4321</v>
      </c>
      <c r="B543" s="3" t="s">
        <v>2456</v>
      </c>
      <c r="C543" s="1" t="s">
        <v>9820</v>
      </c>
      <c r="D543" s="1" t="s">
        <v>9819</v>
      </c>
      <c r="E543" s="1" t="str">
        <f>"2320"</f>
        <v>2320</v>
      </c>
      <c r="F543" s="1" t="str">
        <f>"013719583"</f>
        <v>013719583</v>
      </c>
      <c r="G543" s="1" t="s">
        <v>604</v>
      </c>
      <c r="H543" s="1" t="s">
        <v>15</v>
      </c>
      <c r="I543" s="3" t="str">
        <f>"1"</f>
        <v>1</v>
      </c>
      <c r="J543" s="3" t="str">
        <f>"63682"</f>
        <v>63682</v>
      </c>
      <c r="K543" s="2">
        <v>45920</v>
      </c>
      <c r="L543" s="2">
        <v>45927</v>
      </c>
      <c r="M543" s="1" t="s">
        <v>9818</v>
      </c>
      <c r="N543" s="1" t="s">
        <v>4343</v>
      </c>
    </row>
    <row r="544" spans="1:14" x14ac:dyDescent="0.35">
      <c r="A544" s="1" t="s">
        <v>4321</v>
      </c>
      <c r="B544" s="3" t="s">
        <v>2494</v>
      </c>
      <c r="C544" s="1" t="s">
        <v>2521</v>
      </c>
      <c r="D544" s="1" t="s">
        <v>9817</v>
      </c>
      <c r="E544" s="1" t="str">
        <f>"6230"</f>
        <v>6230</v>
      </c>
      <c r="F544" s="1" t="s">
        <v>178</v>
      </c>
      <c r="G544" s="1" t="s">
        <v>179</v>
      </c>
      <c r="H544" s="1" t="s">
        <v>15</v>
      </c>
      <c r="I544" s="3" t="str">
        <f>"7"</f>
        <v>7</v>
      </c>
      <c r="J544" s="3" t="str">
        <f>"144"</f>
        <v>144</v>
      </c>
      <c r="K544" s="2">
        <v>45919</v>
      </c>
      <c r="L544" s="2">
        <v>45927</v>
      </c>
      <c r="M544" s="1" t="s">
        <v>2539</v>
      </c>
      <c r="N544" s="1" t="s">
        <v>9816</v>
      </c>
    </row>
    <row r="545" spans="1:14" x14ac:dyDescent="0.35">
      <c r="A545" s="1" t="s">
        <v>4321</v>
      </c>
      <c r="B545" s="3" t="s">
        <v>1848</v>
      </c>
      <c r="C545" s="1" t="s">
        <v>1849</v>
      </c>
      <c r="D545" s="1" t="s">
        <v>9815</v>
      </c>
      <c r="E545" s="1" t="str">
        <f>"6230"</f>
        <v>6230</v>
      </c>
      <c r="F545" s="1" t="s">
        <v>178</v>
      </c>
      <c r="G545" s="1" t="s">
        <v>179</v>
      </c>
      <c r="H545" s="1" t="s">
        <v>15</v>
      </c>
      <c r="I545" s="3" t="str">
        <f>"2"</f>
        <v>2</v>
      </c>
      <c r="J545" s="3" t="str">
        <f>"6000"</f>
        <v>6000</v>
      </c>
      <c r="K545" s="2">
        <v>45919</v>
      </c>
      <c r="L545" s="2">
        <v>45927</v>
      </c>
      <c r="M545" s="1" t="s">
        <v>9814</v>
      </c>
      <c r="N545" s="1" t="s">
        <v>9813</v>
      </c>
    </row>
    <row r="546" spans="1:14" x14ac:dyDescent="0.35">
      <c r="A546" s="1" t="s">
        <v>4321</v>
      </c>
      <c r="B546" s="3" t="s">
        <v>2114</v>
      </c>
      <c r="C546" s="1" t="s">
        <v>9812</v>
      </c>
      <c r="D546" s="1" t="s">
        <v>9811</v>
      </c>
      <c r="E546" s="1" t="str">
        <f>"5855"</f>
        <v>5855</v>
      </c>
      <c r="F546" s="1" t="str">
        <f>"015711258"</f>
        <v>015711258</v>
      </c>
      <c r="G546" s="1" t="s">
        <v>703</v>
      </c>
      <c r="H546" s="1" t="s">
        <v>15</v>
      </c>
      <c r="I546" s="3" t="str">
        <f>"8"</f>
        <v>8</v>
      </c>
      <c r="J546" s="3" t="str">
        <f>"1082"</f>
        <v>1082</v>
      </c>
      <c r="K546" s="2">
        <v>45919</v>
      </c>
      <c r="L546" s="2">
        <v>45927</v>
      </c>
      <c r="M546" s="1" t="s">
        <v>9810</v>
      </c>
      <c r="N546" s="1" t="s">
        <v>9809</v>
      </c>
    </row>
    <row r="547" spans="1:14" x14ac:dyDescent="0.35">
      <c r="A547" s="1" t="s">
        <v>4321</v>
      </c>
      <c r="B547" s="3" t="s">
        <v>2248</v>
      </c>
      <c r="C547" s="1" t="s">
        <v>2249</v>
      </c>
      <c r="D547" s="1" t="s">
        <v>9808</v>
      </c>
      <c r="E547" s="1" t="str">
        <f>"5855"</f>
        <v>5855</v>
      </c>
      <c r="F547" s="1" t="str">
        <f>"015282743"</f>
        <v>015282743</v>
      </c>
      <c r="G547" s="1" t="s">
        <v>1942</v>
      </c>
      <c r="H547" s="1" t="s">
        <v>15</v>
      </c>
      <c r="I547" s="3" t="str">
        <f>"2"</f>
        <v>2</v>
      </c>
      <c r="J547" s="3" t="str">
        <f>"8951"</f>
        <v>8951</v>
      </c>
      <c r="K547" s="2">
        <v>45918</v>
      </c>
      <c r="L547" s="2">
        <v>45927</v>
      </c>
      <c r="M547" s="1" t="s">
        <v>9807</v>
      </c>
      <c r="N547" s="1" t="s">
        <v>9806</v>
      </c>
    </row>
    <row r="548" spans="1:14" x14ac:dyDescent="0.35">
      <c r="A548" s="1" t="s">
        <v>4321</v>
      </c>
      <c r="B548" s="3" t="s">
        <v>2114</v>
      </c>
      <c r="C548" s="1" t="s">
        <v>2115</v>
      </c>
      <c r="D548" s="1" t="s">
        <v>9805</v>
      </c>
      <c r="E548" s="1" t="str">
        <f>"6230"</f>
        <v>6230</v>
      </c>
      <c r="F548" s="1" t="s">
        <v>178</v>
      </c>
      <c r="G548" s="1" t="s">
        <v>179</v>
      </c>
      <c r="H548" s="1" t="s">
        <v>15</v>
      </c>
      <c r="I548" s="3" t="str">
        <f>"7"</f>
        <v>7</v>
      </c>
      <c r="J548" s="3" t="str">
        <f>"144"</f>
        <v>144</v>
      </c>
      <c r="K548" s="2">
        <v>45918</v>
      </c>
      <c r="L548" s="2">
        <v>45927</v>
      </c>
      <c r="M548" s="1" t="s">
        <v>9804</v>
      </c>
      <c r="N548" s="1" t="s">
        <v>9803</v>
      </c>
    </row>
    <row r="549" spans="1:14" x14ac:dyDescent="0.35">
      <c r="A549" s="1" t="s">
        <v>4321</v>
      </c>
      <c r="B549" s="3" t="s">
        <v>2114</v>
      </c>
      <c r="C549" s="1" t="s">
        <v>9243</v>
      </c>
      <c r="D549" s="1" t="s">
        <v>9802</v>
      </c>
      <c r="E549" s="1" t="str">
        <f>"5855"</f>
        <v>5855</v>
      </c>
      <c r="F549" s="1" t="s">
        <v>2918</v>
      </c>
      <c r="G549" s="1" t="s">
        <v>2919</v>
      </c>
      <c r="H549" s="1" t="s">
        <v>15</v>
      </c>
      <c r="I549" s="3" t="str">
        <f>"1"</f>
        <v>1</v>
      </c>
      <c r="J549" s="3" t="str">
        <f>"3000"</f>
        <v>3000</v>
      </c>
      <c r="K549" s="2">
        <v>45918</v>
      </c>
      <c r="L549" s="2">
        <v>45927</v>
      </c>
      <c r="M549" s="1" t="s">
        <v>9801</v>
      </c>
      <c r="N549" s="1" t="s">
        <v>9800</v>
      </c>
    </row>
    <row r="550" spans="1:14" x14ac:dyDescent="0.35">
      <c r="A550" s="1" t="s">
        <v>4321</v>
      </c>
      <c r="B550" s="3" t="s">
        <v>2114</v>
      </c>
      <c r="C550" s="1" t="s">
        <v>9243</v>
      </c>
      <c r="D550" s="1" t="s">
        <v>9799</v>
      </c>
      <c r="E550" s="1" t="str">
        <f>"5855"</f>
        <v>5855</v>
      </c>
      <c r="F550" s="1" t="s">
        <v>2918</v>
      </c>
      <c r="G550" s="1" t="s">
        <v>2919</v>
      </c>
      <c r="H550" s="1" t="s">
        <v>15</v>
      </c>
      <c r="I550" s="3" t="str">
        <f>"1"</f>
        <v>1</v>
      </c>
      <c r="J550" s="3">
        <v>4040.37</v>
      </c>
      <c r="K550" s="2">
        <v>45918</v>
      </c>
      <c r="L550" s="2">
        <v>45927</v>
      </c>
      <c r="M550" s="1" t="s">
        <v>9798</v>
      </c>
      <c r="N550" s="1" t="s">
        <v>9797</v>
      </c>
    </row>
    <row r="551" spans="1:14" x14ac:dyDescent="0.35">
      <c r="A551" s="1" t="s">
        <v>4321</v>
      </c>
      <c r="B551" s="3" t="s">
        <v>691</v>
      </c>
      <c r="C551" s="1" t="s">
        <v>731</v>
      </c>
      <c r="D551" s="1" t="s">
        <v>9796</v>
      </c>
      <c r="E551" s="1" t="str">
        <f>"8415"</f>
        <v>8415</v>
      </c>
      <c r="F551" s="1" t="str">
        <f>"013950005"</f>
        <v>013950005</v>
      </c>
      <c r="G551" s="1" t="s">
        <v>768</v>
      </c>
      <c r="H551" s="1" t="s">
        <v>15</v>
      </c>
      <c r="I551" s="3" t="str">
        <f>"4"</f>
        <v>4</v>
      </c>
      <c r="J551" s="3">
        <v>191.78</v>
      </c>
      <c r="K551" s="2">
        <v>45918</v>
      </c>
      <c r="L551" s="2">
        <v>45927</v>
      </c>
      <c r="M551" s="1" t="s">
        <v>774</v>
      </c>
      <c r="N551" s="1" t="s">
        <v>9795</v>
      </c>
    </row>
    <row r="552" spans="1:14" x14ac:dyDescent="0.35">
      <c r="A552" s="1" t="s">
        <v>4321</v>
      </c>
      <c r="B552" s="3" t="s">
        <v>3183</v>
      </c>
      <c r="C552" s="1" t="s">
        <v>3184</v>
      </c>
      <c r="D552" s="1" t="s">
        <v>9794</v>
      </c>
      <c r="E552" s="1" t="str">
        <f>"5855"</f>
        <v>5855</v>
      </c>
      <c r="F552" s="1" t="str">
        <f>"015847217"</f>
        <v>015847217</v>
      </c>
      <c r="G552" s="1" t="s">
        <v>1942</v>
      </c>
      <c r="H552" s="1" t="s">
        <v>15</v>
      </c>
      <c r="I552" s="3" t="str">
        <f>"36"</f>
        <v>36</v>
      </c>
      <c r="J552" s="3" t="str">
        <f>"35674"</f>
        <v>35674</v>
      </c>
      <c r="K552" s="2">
        <v>45917</v>
      </c>
      <c r="L552" s="2">
        <v>45927</v>
      </c>
      <c r="M552" s="1" t="s">
        <v>9793</v>
      </c>
      <c r="N552" s="1" t="s">
        <v>9792</v>
      </c>
    </row>
    <row r="553" spans="1:14" x14ac:dyDescent="0.35">
      <c r="A553" s="1" t="s">
        <v>4321</v>
      </c>
      <c r="B553" s="3" t="s">
        <v>2720</v>
      </c>
      <c r="C553" s="1" t="s">
        <v>2745</v>
      </c>
      <c r="D553" s="1" t="s">
        <v>9791</v>
      </c>
      <c r="E553" s="1" t="str">
        <f>"5855"</f>
        <v>5855</v>
      </c>
      <c r="F553" s="1" t="str">
        <f>"015847217"</f>
        <v>015847217</v>
      </c>
      <c r="G553" s="1" t="s">
        <v>1942</v>
      </c>
      <c r="H553" s="1" t="s">
        <v>15</v>
      </c>
      <c r="I553" s="3" t="str">
        <f>"25"</f>
        <v>25</v>
      </c>
      <c r="J553" s="3" t="str">
        <f>"35674"</f>
        <v>35674</v>
      </c>
      <c r="K553" s="2">
        <v>45917</v>
      </c>
      <c r="L553" s="2">
        <v>45927</v>
      </c>
      <c r="M553" s="1" t="s">
        <v>9790</v>
      </c>
      <c r="N553" s="1" t="s">
        <v>9789</v>
      </c>
    </row>
    <row r="554" spans="1:14" x14ac:dyDescent="0.35">
      <c r="A554" s="1" t="s">
        <v>4321</v>
      </c>
      <c r="B554" s="3" t="s">
        <v>93</v>
      </c>
      <c r="C554" s="1" t="s">
        <v>369</v>
      </c>
      <c r="D554" s="1" t="s">
        <v>9788</v>
      </c>
      <c r="E554" s="1" t="str">
        <f>"2330"</f>
        <v>2330</v>
      </c>
      <c r="F554" s="1" t="s">
        <v>70</v>
      </c>
      <c r="G554" s="1" t="s">
        <v>71</v>
      </c>
      <c r="H554" s="1" t="s">
        <v>15</v>
      </c>
      <c r="I554" s="3" t="str">
        <f>"1"</f>
        <v>1</v>
      </c>
      <c r="J554" s="3" t="str">
        <f>"15000"</f>
        <v>15000</v>
      </c>
      <c r="K554" s="2">
        <v>45917</v>
      </c>
      <c r="L554" s="2">
        <v>45927</v>
      </c>
      <c r="M554" s="1" t="s">
        <v>9787</v>
      </c>
      <c r="N554" s="1" t="s">
        <v>9786</v>
      </c>
    </row>
    <row r="555" spans="1:14" x14ac:dyDescent="0.35">
      <c r="A555" s="1" t="s">
        <v>4321</v>
      </c>
      <c r="B555" s="3" t="s">
        <v>1699</v>
      </c>
      <c r="C555" s="1" t="s">
        <v>1704</v>
      </c>
      <c r="D555" s="1" t="s">
        <v>9785</v>
      </c>
      <c r="E555" s="1" t="str">
        <f>"2320"</f>
        <v>2320</v>
      </c>
      <c r="F555" s="1" t="s">
        <v>321</v>
      </c>
      <c r="G555" s="1" t="s">
        <v>322</v>
      </c>
      <c r="H555" s="1" t="s">
        <v>15</v>
      </c>
      <c r="I555" s="3" t="str">
        <f>"1"</f>
        <v>1</v>
      </c>
      <c r="J555" s="3" t="str">
        <f>"173990"</f>
        <v>173990</v>
      </c>
      <c r="K555" s="2">
        <v>45916</v>
      </c>
      <c r="L555" s="2">
        <v>45927</v>
      </c>
      <c r="M555" s="1" t="s">
        <v>9784</v>
      </c>
      <c r="N555" s="1" t="s">
        <v>9783</v>
      </c>
    </row>
    <row r="556" spans="1:14" x14ac:dyDescent="0.35">
      <c r="A556" s="1" t="s">
        <v>4321</v>
      </c>
      <c r="B556" s="3" t="s">
        <v>93</v>
      </c>
      <c r="C556" s="1" t="s">
        <v>305</v>
      </c>
      <c r="D556" s="1" t="s">
        <v>9782</v>
      </c>
      <c r="E556" s="1" t="str">
        <f>"2330"</f>
        <v>2330</v>
      </c>
      <c r="F556" s="1" t="s">
        <v>70</v>
      </c>
      <c r="G556" s="1" t="s">
        <v>71</v>
      </c>
      <c r="H556" s="1" t="s">
        <v>15</v>
      </c>
      <c r="I556" s="3" t="str">
        <f>"1"</f>
        <v>1</v>
      </c>
      <c r="J556" s="3" t="str">
        <f>"15000"</f>
        <v>15000</v>
      </c>
      <c r="K556" s="2">
        <v>45916</v>
      </c>
      <c r="L556" s="2">
        <v>45927</v>
      </c>
      <c r="M556" s="1" t="s">
        <v>9781</v>
      </c>
      <c r="N556" s="1" t="s">
        <v>9780</v>
      </c>
    </row>
    <row r="557" spans="1:14" x14ac:dyDescent="0.35">
      <c r="A557" s="1" t="s">
        <v>4321</v>
      </c>
      <c r="B557" s="3" t="s">
        <v>93</v>
      </c>
      <c r="C557" s="1" t="s">
        <v>305</v>
      </c>
      <c r="D557" s="1" t="s">
        <v>9779</v>
      </c>
      <c r="E557" s="1" t="str">
        <f>"1550"</f>
        <v>1550</v>
      </c>
      <c r="F557" s="1" t="str">
        <f>"015389256"</f>
        <v>015389256</v>
      </c>
      <c r="G557" s="1" t="s">
        <v>2416</v>
      </c>
      <c r="H557" s="1" t="s">
        <v>15</v>
      </c>
      <c r="I557" s="3" t="str">
        <f>"1"</f>
        <v>1</v>
      </c>
      <c r="J557" s="3" t="str">
        <f>"100000"</f>
        <v>100000</v>
      </c>
      <c r="K557" s="2">
        <v>45916</v>
      </c>
      <c r="L557" s="2">
        <v>45927</v>
      </c>
      <c r="M557" s="1" t="s">
        <v>9778</v>
      </c>
      <c r="N557" s="1" t="s">
        <v>9777</v>
      </c>
    </row>
    <row r="558" spans="1:14" x14ac:dyDescent="0.35">
      <c r="A558" s="1" t="s">
        <v>4321</v>
      </c>
      <c r="B558" s="3" t="s">
        <v>3183</v>
      </c>
      <c r="C558" s="1" t="s">
        <v>3311</v>
      </c>
      <c r="D558" s="1" t="s">
        <v>9776</v>
      </c>
      <c r="E558" s="1" t="str">
        <f>"2330"</f>
        <v>2330</v>
      </c>
      <c r="F558" s="1" t="str">
        <f>"010585911"</f>
        <v>010585911</v>
      </c>
      <c r="G558" s="1" t="s">
        <v>2230</v>
      </c>
      <c r="H558" s="1" t="s">
        <v>15</v>
      </c>
      <c r="I558" s="3" t="str">
        <f>"1"</f>
        <v>1</v>
      </c>
      <c r="J558" s="3" t="str">
        <f>"63315"</f>
        <v>63315</v>
      </c>
      <c r="K558" s="2">
        <v>45916</v>
      </c>
      <c r="L558" s="2">
        <v>45927</v>
      </c>
      <c r="M558" s="1" t="s">
        <v>9775</v>
      </c>
      <c r="N558" s="1" t="s">
        <v>9774</v>
      </c>
    </row>
    <row r="559" spans="1:14" x14ac:dyDescent="0.35">
      <c r="A559" s="1" t="s">
        <v>4321</v>
      </c>
      <c r="B559" s="3" t="s">
        <v>3885</v>
      </c>
      <c r="C559" s="1" t="s">
        <v>4074</v>
      </c>
      <c r="D559" s="1" t="s">
        <v>9773</v>
      </c>
      <c r="E559" s="1" t="str">
        <f>"2320"</f>
        <v>2320</v>
      </c>
      <c r="F559" s="1" t="s">
        <v>321</v>
      </c>
      <c r="G559" s="1" t="s">
        <v>322</v>
      </c>
      <c r="H559" s="1" t="s">
        <v>15</v>
      </c>
      <c r="I559" s="3" t="str">
        <f>"1"</f>
        <v>1</v>
      </c>
      <c r="J559" s="3">
        <v>22164.45</v>
      </c>
      <c r="K559" s="2">
        <v>45916</v>
      </c>
      <c r="L559" s="2">
        <v>45927</v>
      </c>
      <c r="M559" s="1" t="s">
        <v>9772</v>
      </c>
      <c r="N559" s="1" t="s">
        <v>9771</v>
      </c>
    </row>
    <row r="560" spans="1:14" x14ac:dyDescent="0.35">
      <c r="A560" s="1" t="s">
        <v>4321</v>
      </c>
      <c r="B560" s="3" t="s">
        <v>2000</v>
      </c>
      <c r="C560" s="1" t="s">
        <v>2001</v>
      </c>
      <c r="D560" s="1" t="s">
        <v>9770</v>
      </c>
      <c r="E560" s="1" t="str">
        <f>"2320"</f>
        <v>2320</v>
      </c>
      <c r="F560" s="1" t="s">
        <v>321</v>
      </c>
      <c r="G560" s="1" t="s">
        <v>322</v>
      </c>
      <c r="H560" s="1" t="s">
        <v>15</v>
      </c>
      <c r="I560" s="3" t="str">
        <f>"1"</f>
        <v>1</v>
      </c>
      <c r="J560" s="3">
        <v>21545.32</v>
      </c>
      <c r="K560" s="2">
        <v>45915</v>
      </c>
      <c r="L560" s="2">
        <v>45927</v>
      </c>
      <c r="M560" s="1" t="s">
        <v>9769</v>
      </c>
      <c r="N560" s="1" t="s">
        <v>9768</v>
      </c>
    </row>
    <row r="561" spans="1:14" x14ac:dyDescent="0.35">
      <c r="A561" s="1" t="s">
        <v>4321</v>
      </c>
      <c r="B561" s="3" t="s">
        <v>2720</v>
      </c>
      <c r="C561" s="1" t="s">
        <v>9767</v>
      </c>
      <c r="D561" s="1" t="s">
        <v>9766</v>
      </c>
      <c r="E561" s="1" t="str">
        <f>"5855"</f>
        <v>5855</v>
      </c>
      <c r="F561" s="1" t="str">
        <f>"015847217"</f>
        <v>015847217</v>
      </c>
      <c r="G561" s="1" t="s">
        <v>1942</v>
      </c>
      <c r="H561" s="1" t="s">
        <v>15</v>
      </c>
      <c r="I561" s="3" t="str">
        <f>"6"</f>
        <v>6</v>
      </c>
      <c r="J561" s="3" t="str">
        <f>"35674"</f>
        <v>35674</v>
      </c>
      <c r="K561" s="2">
        <v>45915</v>
      </c>
      <c r="L561" s="2">
        <v>45927</v>
      </c>
      <c r="M561" s="1" t="s">
        <v>9765</v>
      </c>
      <c r="N561" s="1" t="s">
        <v>9764</v>
      </c>
    </row>
    <row r="562" spans="1:14" x14ac:dyDescent="0.35">
      <c r="A562" s="1" t="s">
        <v>4321</v>
      </c>
      <c r="B562" s="3" t="s">
        <v>601</v>
      </c>
      <c r="C562" s="1" t="s">
        <v>602</v>
      </c>
      <c r="D562" s="1" t="s">
        <v>9763</v>
      </c>
      <c r="E562" s="1" t="str">
        <f>"2330"</f>
        <v>2330</v>
      </c>
      <c r="F562" s="1" t="s">
        <v>70</v>
      </c>
      <c r="G562" s="1" t="s">
        <v>71</v>
      </c>
      <c r="H562" s="1" t="s">
        <v>15</v>
      </c>
      <c r="I562" s="3" t="str">
        <f>"1"</f>
        <v>1</v>
      </c>
      <c r="J562" s="3" t="str">
        <f>"9873"</f>
        <v>9873</v>
      </c>
      <c r="K562" s="2">
        <v>45915</v>
      </c>
      <c r="L562" s="2">
        <v>45927</v>
      </c>
      <c r="M562" s="1" t="s">
        <v>618</v>
      </c>
      <c r="N562" s="1" t="s">
        <v>9762</v>
      </c>
    </row>
    <row r="563" spans="1:14" x14ac:dyDescent="0.35">
      <c r="A563" s="1" t="s">
        <v>4321</v>
      </c>
      <c r="B563" s="3" t="s">
        <v>1317</v>
      </c>
      <c r="C563" s="1" t="s">
        <v>1318</v>
      </c>
      <c r="D563" s="1" t="s">
        <v>9761</v>
      </c>
      <c r="E563" s="1" t="str">
        <f>"1940"</f>
        <v>1940</v>
      </c>
      <c r="F563" s="1" t="s">
        <v>567</v>
      </c>
      <c r="G563" s="1" t="s">
        <v>568</v>
      </c>
      <c r="H563" s="1" t="s">
        <v>15</v>
      </c>
      <c r="I563" s="3" t="str">
        <f>"1"</f>
        <v>1</v>
      </c>
      <c r="J563" s="3" t="str">
        <f>"15000"</f>
        <v>15000</v>
      </c>
      <c r="K563" s="2">
        <v>45915</v>
      </c>
      <c r="L563" s="2">
        <v>45927</v>
      </c>
      <c r="M563" s="1" t="s">
        <v>9760</v>
      </c>
      <c r="N563" s="1" t="s">
        <v>9759</v>
      </c>
    </row>
    <row r="564" spans="1:14" x14ac:dyDescent="0.35">
      <c r="A564" s="1" t="s">
        <v>4321</v>
      </c>
      <c r="B564" s="3" t="s">
        <v>1857</v>
      </c>
      <c r="C564" s="1" t="s">
        <v>1869</v>
      </c>
      <c r="D564" s="1" t="s">
        <v>9758</v>
      </c>
      <c r="E564" s="1" t="str">
        <f>"2320"</f>
        <v>2320</v>
      </c>
      <c r="F564" s="1" t="s">
        <v>321</v>
      </c>
      <c r="G564" s="1" t="s">
        <v>322</v>
      </c>
      <c r="H564" s="1" t="s">
        <v>15</v>
      </c>
      <c r="I564" s="3" t="str">
        <f>"1"</f>
        <v>1</v>
      </c>
      <c r="J564" s="3">
        <v>21545.32</v>
      </c>
      <c r="K564" s="2">
        <v>45915</v>
      </c>
      <c r="L564" s="2">
        <v>45927</v>
      </c>
      <c r="M564" s="1" t="s">
        <v>9757</v>
      </c>
      <c r="N564" s="1" t="s">
        <v>9756</v>
      </c>
    </row>
    <row r="565" spans="1:14" x14ac:dyDescent="0.35">
      <c r="A565" s="1" t="s">
        <v>4321</v>
      </c>
      <c r="B565" s="3" t="s">
        <v>2248</v>
      </c>
      <c r="C565" s="1" t="s">
        <v>2265</v>
      </c>
      <c r="D565" s="1" t="s">
        <v>9755</v>
      </c>
      <c r="E565" s="1" t="str">
        <f>"5855"</f>
        <v>5855</v>
      </c>
      <c r="F565" s="1" t="str">
        <f>"015847217"</f>
        <v>015847217</v>
      </c>
      <c r="G565" s="1" t="s">
        <v>1942</v>
      </c>
      <c r="H565" s="1" t="s">
        <v>15</v>
      </c>
      <c r="I565" s="3" t="str">
        <f>"20"</f>
        <v>20</v>
      </c>
      <c r="J565" s="3" t="str">
        <f>"35674"</f>
        <v>35674</v>
      </c>
      <c r="K565" s="2">
        <v>45915</v>
      </c>
      <c r="L565" s="2">
        <v>45927</v>
      </c>
      <c r="M565" s="1" t="s">
        <v>2269</v>
      </c>
      <c r="N565" s="1" t="s">
        <v>9754</v>
      </c>
    </row>
    <row r="566" spans="1:14" x14ac:dyDescent="0.35">
      <c r="A566" s="1" t="s">
        <v>4321</v>
      </c>
      <c r="B566" s="3" t="s">
        <v>2248</v>
      </c>
      <c r="C566" s="1" t="s">
        <v>2265</v>
      </c>
      <c r="D566" s="1" t="s">
        <v>9753</v>
      </c>
      <c r="E566" s="1" t="str">
        <f>"5855"</f>
        <v>5855</v>
      </c>
      <c r="F566" s="1" t="str">
        <f>"015936375"</f>
        <v>015936375</v>
      </c>
      <c r="G566" s="1" t="s">
        <v>1904</v>
      </c>
      <c r="H566" s="1" t="s">
        <v>15</v>
      </c>
      <c r="I566" s="3" t="str">
        <f>"13"</f>
        <v>13</v>
      </c>
      <c r="J566" s="3">
        <v>702.1</v>
      </c>
      <c r="K566" s="2">
        <v>45915</v>
      </c>
      <c r="L566" s="2">
        <v>45927</v>
      </c>
      <c r="M566" s="1" t="s">
        <v>9752</v>
      </c>
      <c r="N566" s="1" t="s">
        <v>9751</v>
      </c>
    </row>
    <row r="567" spans="1:14" x14ac:dyDescent="0.35">
      <c r="A567" s="1" t="s">
        <v>4321</v>
      </c>
      <c r="B567" s="3" t="s">
        <v>2248</v>
      </c>
      <c r="C567" s="1" t="s">
        <v>2265</v>
      </c>
      <c r="D567" s="1" t="s">
        <v>9750</v>
      </c>
      <c r="E567" s="1" t="str">
        <f>"6230"</f>
        <v>6230</v>
      </c>
      <c r="F567" s="1" t="str">
        <f>"015894822"</f>
        <v>015894822</v>
      </c>
      <c r="G567" s="1" t="s">
        <v>310</v>
      </c>
      <c r="H567" s="1" t="s">
        <v>15</v>
      </c>
      <c r="I567" s="3" t="str">
        <f>"22"</f>
        <v>22</v>
      </c>
      <c r="J567" s="3">
        <v>889.39</v>
      </c>
      <c r="K567" s="2">
        <v>45915</v>
      </c>
      <c r="L567" s="2">
        <v>45927</v>
      </c>
      <c r="M567" s="1" t="s">
        <v>9749</v>
      </c>
      <c r="N567" s="1" t="s">
        <v>9748</v>
      </c>
    </row>
    <row r="568" spans="1:14" x14ac:dyDescent="0.35">
      <c r="A568" s="1" t="s">
        <v>4321</v>
      </c>
      <c r="B568" s="3" t="s">
        <v>2720</v>
      </c>
      <c r="C568" s="1" t="s">
        <v>2765</v>
      </c>
      <c r="D568" s="1" t="s">
        <v>9747</v>
      </c>
      <c r="E568" s="1" t="str">
        <f>"2320"</f>
        <v>2320</v>
      </c>
      <c r="F568" s="1" t="s">
        <v>321</v>
      </c>
      <c r="G568" s="1" t="s">
        <v>322</v>
      </c>
      <c r="H568" s="1" t="s">
        <v>15</v>
      </c>
      <c r="I568" s="3" t="str">
        <f>"1"</f>
        <v>1</v>
      </c>
      <c r="J568" s="3">
        <v>21545.32</v>
      </c>
      <c r="K568" s="2">
        <v>45915</v>
      </c>
      <c r="L568" s="2">
        <v>45927</v>
      </c>
      <c r="M568" s="1" t="s">
        <v>9746</v>
      </c>
      <c r="N568" s="1" t="s">
        <v>9745</v>
      </c>
    </row>
    <row r="569" spans="1:14" x14ac:dyDescent="0.35">
      <c r="A569" s="1" t="s">
        <v>4321</v>
      </c>
      <c r="B569" s="3" t="s">
        <v>2720</v>
      </c>
      <c r="C569" s="1" t="s">
        <v>2765</v>
      </c>
      <c r="D569" s="1" t="s">
        <v>9744</v>
      </c>
      <c r="E569" s="1" t="str">
        <f>"3805"</f>
        <v>3805</v>
      </c>
      <c r="F569" s="1" t="s">
        <v>2913</v>
      </c>
      <c r="G569" s="1" t="s">
        <v>2914</v>
      </c>
      <c r="H569" s="1" t="s">
        <v>15</v>
      </c>
      <c r="I569" s="3" t="str">
        <f>"1"</f>
        <v>1</v>
      </c>
      <c r="J569" s="3" t="str">
        <f>"72000"</f>
        <v>72000</v>
      </c>
      <c r="K569" s="2">
        <v>45915</v>
      </c>
      <c r="L569" s="2">
        <v>45927</v>
      </c>
      <c r="M569" s="1" t="s">
        <v>9743</v>
      </c>
      <c r="N569" s="1" t="s">
        <v>9742</v>
      </c>
    </row>
    <row r="570" spans="1:14" x14ac:dyDescent="0.35">
      <c r="A570" s="1" t="s">
        <v>4321</v>
      </c>
      <c r="B570" s="3" t="s">
        <v>1699</v>
      </c>
      <c r="C570" s="1" t="s">
        <v>1795</v>
      </c>
      <c r="D570" s="1" t="s">
        <v>9741</v>
      </c>
      <c r="E570" s="1" t="str">
        <f>"2320"</f>
        <v>2320</v>
      </c>
      <c r="F570" s="1" t="s">
        <v>321</v>
      </c>
      <c r="G570" s="1" t="s">
        <v>322</v>
      </c>
      <c r="H570" s="1" t="s">
        <v>15</v>
      </c>
      <c r="I570" s="3" t="str">
        <f>"1"</f>
        <v>1</v>
      </c>
      <c r="J570" s="3">
        <v>21545.32</v>
      </c>
      <c r="K570" s="2">
        <v>45915</v>
      </c>
      <c r="L570" s="2">
        <v>45927</v>
      </c>
      <c r="M570" s="1" t="s">
        <v>9740</v>
      </c>
      <c r="N570" s="1" t="s">
        <v>9739</v>
      </c>
    </row>
    <row r="571" spans="1:14" x14ac:dyDescent="0.35">
      <c r="A571" s="1" t="s">
        <v>4321</v>
      </c>
      <c r="B571" s="3" t="s">
        <v>2145</v>
      </c>
      <c r="C571" s="1" t="s">
        <v>2220</v>
      </c>
      <c r="D571" s="1" t="s">
        <v>9738</v>
      </c>
      <c r="E571" s="1" t="str">
        <f>"3750"</f>
        <v>3750</v>
      </c>
      <c r="F571" s="1" t="s">
        <v>9737</v>
      </c>
      <c r="G571" s="1" t="s">
        <v>9736</v>
      </c>
      <c r="H571" s="1" t="s">
        <v>15</v>
      </c>
      <c r="I571" s="3" t="str">
        <f>"1"</f>
        <v>1</v>
      </c>
      <c r="J571" s="3" t="str">
        <f>"15000"</f>
        <v>15000</v>
      </c>
      <c r="K571" s="2">
        <v>45915</v>
      </c>
      <c r="L571" s="2">
        <v>45927</v>
      </c>
      <c r="M571" s="1" t="s">
        <v>9735</v>
      </c>
      <c r="N571" s="1" t="s">
        <v>9734</v>
      </c>
    </row>
    <row r="572" spans="1:14" x14ac:dyDescent="0.35">
      <c r="A572" s="1" t="s">
        <v>4321</v>
      </c>
      <c r="B572" s="3" t="s">
        <v>11</v>
      </c>
      <c r="C572" s="1" t="s">
        <v>12</v>
      </c>
      <c r="D572" s="1" t="s">
        <v>9733</v>
      </c>
      <c r="E572" s="1" t="str">
        <f>"2330"</f>
        <v>2330</v>
      </c>
      <c r="F572" s="1" t="s">
        <v>70</v>
      </c>
      <c r="G572" s="1" t="s">
        <v>71</v>
      </c>
      <c r="H572" s="1" t="s">
        <v>15</v>
      </c>
      <c r="I572" s="3" t="str">
        <f>"1"</f>
        <v>1</v>
      </c>
      <c r="J572" s="3" t="str">
        <f>"4000"</f>
        <v>4000</v>
      </c>
      <c r="K572" s="2">
        <v>45914</v>
      </c>
      <c r="L572" s="2">
        <v>45927</v>
      </c>
      <c r="M572" s="1" t="s">
        <v>9732</v>
      </c>
      <c r="N572" s="1" t="s">
        <v>9731</v>
      </c>
    </row>
    <row r="573" spans="1:14" x14ac:dyDescent="0.35">
      <c r="A573" s="1" t="s">
        <v>4321</v>
      </c>
      <c r="B573" s="3" t="s">
        <v>11</v>
      </c>
      <c r="C573" s="1" t="s">
        <v>12</v>
      </c>
      <c r="D573" s="1" t="s">
        <v>9730</v>
      </c>
      <c r="E573" s="1" t="str">
        <f>"2340"</f>
        <v>2340</v>
      </c>
      <c r="F573" s="1" t="s">
        <v>694</v>
      </c>
      <c r="G573" s="1" t="s">
        <v>695</v>
      </c>
      <c r="H573" s="1" t="s">
        <v>15</v>
      </c>
      <c r="I573" s="3" t="str">
        <f>"1"</f>
        <v>1</v>
      </c>
      <c r="J573" s="3" t="str">
        <f>"10000"</f>
        <v>10000</v>
      </c>
      <c r="K573" s="2">
        <v>45914</v>
      </c>
      <c r="L573" s="2">
        <v>45927</v>
      </c>
      <c r="M573" s="1" t="s">
        <v>9729</v>
      </c>
      <c r="N573" s="1" t="s">
        <v>9728</v>
      </c>
    </row>
    <row r="574" spans="1:14" x14ac:dyDescent="0.35">
      <c r="A574" s="1" t="s">
        <v>4321</v>
      </c>
      <c r="B574" s="3" t="s">
        <v>2114</v>
      </c>
      <c r="C574" s="1" t="s">
        <v>2115</v>
      </c>
      <c r="D574" s="1" t="s">
        <v>9727</v>
      </c>
      <c r="E574" s="1" t="str">
        <f>"5855"</f>
        <v>5855</v>
      </c>
      <c r="F574" s="1" t="str">
        <f>"015847217"</f>
        <v>015847217</v>
      </c>
      <c r="G574" s="1" t="s">
        <v>1942</v>
      </c>
      <c r="H574" s="1" t="s">
        <v>15</v>
      </c>
      <c r="I574" s="3" t="str">
        <f>"12"</f>
        <v>12</v>
      </c>
      <c r="J574" s="3" t="str">
        <f>"35674"</f>
        <v>35674</v>
      </c>
      <c r="K574" s="2">
        <v>45914</v>
      </c>
      <c r="L574" s="2">
        <v>45927</v>
      </c>
      <c r="M574" s="1" t="s">
        <v>9726</v>
      </c>
      <c r="N574" s="1" t="s">
        <v>9725</v>
      </c>
    </row>
    <row r="575" spans="1:14" x14ac:dyDescent="0.35">
      <c r="A575" s="1" t="s">
        <v>4321</v>
      </c>
      <c r="B575" s="3" t="s">
        <v>93</v>
      </c>
      <c r="C575" s="1" t="s">
        <v>312</v>
      </c>
      <c r="D575" s="1" t="s">
        <v>9724</v>
      </c>
      <c r="E575" s="1" t="str">
        <f>"3805"</f>
        <v>3805</v>
      </c>
      <c r="F575" s="1" t="s">
        <v>2913</v>
      </c>
      <c r="G575" s="1" t="s">
        <v>2914</v>
      </c>
      <c r="H575" s="1" t="s">
        <v>15</v>
      </c>
      <c r="I575" s="3" t="str">
        <f>"1"</f>
        <v>1</v>
      </c>
      <c r="J575" s="3" t="str">
        <f>"72000"</f>
        <v>72000</v>
      </c>
      <c r="K575" s="2">
        <v>45914</v>
      </c>
      <c r="L575" s="2">
        <v>45927</v>
      </c>
      <c r="M575" s="1" t="s">
        <v>9723</v>
      </c>
      <c r="N575" s="1" t="s">
        <v>9722</v>
      </c>
    </row>
    <row r="576" spans="1:14" x14ac:dyDescent="0.35">
      <c r="A576" s="1" t="s">
        <v>4321</v>
      </c>
      <c r="B576" s="3" t="s">
        <v>93</v>
      </c>
      <c r="C576" s="1" t="s">
        <v>312</v>
      </c>
      <c r="D576" s="1" t="s">
        <v>9721</v>
      </c>
      <c r="E576" s="1" t="str">
        <f>"2320"</f>
        <v>2320</v>
      </c>
      <c r="F576" s="1" t="s">
        <v>321</v>
      </c>
      <c r="G576" s="1" t="s">
        <v>322</v>
      </c>
      <c r="H576" s="1" t="s">
        <v>15</v>
      </c>
      <c r="I576" s="3" t="str">
        <f>"1"</f>
        <v>1</v>
      </c>
      <c r="J576" s="3" t="str">
        <f>"134093"</f>
        <v>134093</v>
      </c>
      <c r="K576" s="2">
        <v>45914</v>
      </c>
      <c r="L576" s="2">
        <v>45927</v>
      </c>
      <c r="M576" s="1" t="s">
        <v>9720</v>
      </c>
      <c r="N576" s="1" t="s">
        <v>9719</v>
      </c>
    </row>
    <row r="577" spans="1:14" x14ac:dyDescent="0.35">
      <c r="A577" s="1" t="s">
        <v>4321</v>
      </c>
      <c r="B577" s="3" t="s">
        <v>3105</v>
      </c>
      <c r="C577" s="1" t="s">
        <v>3141</v>
      </c>
      <c r="D577" s="1" t="s">
        <v>9718</v>
      </c>
      <c r="E577" s="1" t="str">
        <f>"5855"</f>
        <v>5855</v>
      </c>
      <c r="F577" s="1" t="str">
        <f>"015936375"</f>
        <v>015936375</v>
      </c>
      <c r="G577" s="1" t="s">
        <v>1904</v>
      </c>
      <c r="H577" s="1" t="s">
        <v>15</v>
      </c>
      <c r="I577" s="3" t="str">
        <f>"38"</f>
        <v>38</v>
      </c>
      <c r="J577" s="3">
        <v>702.1</v>
      </c>
      <c r="K577" s="2">
        <v>45914</v>
      </c>
      <c r="L577" s="2">
        <v>45927</v>
      </c>
      <c r="M577" s="1" t="s">
        <v>9717</v>
      </c>
      <c r="N577" s="1" t="s">
        <v>9716</v>
      </c>
    </row>
    <row r="578" spans="1:14" x14ac:dyDescent="0.35">
      <c r="A578" s="1" t="s">
        <v>4321</v>
      </c>
      <c r="B578" s="3" t="s">
        <v>3183</v>
      </c>
      <c r="C578" s="1" t="s">
        <v>3435</v>
      </c>
      <c r="D578" s="1" t="s">
        <v>9715</v>
      </c>
      <c r="E578" s="1" t="str">
        <f>"1940"</f>
        <v>1940</v>
      </c>
      <c r="F578" s="1" t="s">
        <v>567</v>
      </c>
      <c r="G578" s="1" t="s">
        <v>568</v>
      </c>
      <c r="H578" s="1" t="s">
        <v>15</v>
      </c>
      <c r="I578" s="3" t="str">
        <f>"1"</f>
        <v>1</v>
      </c>
      <c r="J578" s="3" t="str">
        <f>"15000"</f>
        <v>15000</v>
      </c>
      <c r="K578" s="2">
        <v>45914</v>
      </c>
      <c r="L578" s="2">
        <v>45927</v>
      </c>
      <c r="M578" s="1" t="s">
        <v>9714</v>
      </c>
      <c r="N578" s="1" t="s">
        <v>9713</v>
      </c>
    </row>
    <row r="579" spans="1:14" x14ac:dyDescent="0.35">
      <c r="A579" s="1" t="s">
        <v>4321</v>
      </c>
      <c r="B579" s="3" t="s">
        <v>3513</v>
      </c>
      <c r="C579" s="1" t="s">
        <v>3514</v>
      </c>
      <c r="D579" s="1" t="s">
        <v>9712</v>
      </c>
      <c r="E579" s="1" t="str">
        <f>"5660"</f>
        <v>5660</v>
      </c>
      <c r="F579" s="1" t="str">
        <f>"014956363"</f>
        <v>014956363</v>
      </c>
      <c r="G579" s="1" t="s">
        <v>171</v>
      </c>
      <c r="H579" s="1" t="s">
        <v>15</v>
      </c>
      <c r="I579" s="3" t="str">
        <f>"10"</f>
        <v>10</v>
      </c>
      <c r="J579" s="3">
        <v>809.91</v>
      </c>
      <c r="K579" s="2">
        <v>45913</v>
      </c>
      <c r="L579" s="2">
        <v>45927</v>
      </c>
      <c r="M579" s="1" t="s">
        <v>9711</v>
      </c>
      <c r="N579" s="1" t="s">
        <v>9710</v>
      </c>
    </row>
    <row r="580" spans="1:14" x14ac:dyDescent="0.35">
      <c r="A580" s="1" t="s">
        <v>4321</v>
      </c>
      <c r="B580" s="3" t="s">
        <v>4253</v>
      </c>
      <c r="C580" s="1" t="s">
        <v>4254</v>
      </c>
      <c r="D580" s="1" t="s">
        <v>9709</v>
      </c>
      <c r="E580" s="1" t="str">
        <f>"2330"</f>
        <v>2330</v>
      </c>
      <c r="F580" s="1" t="s">
        <v>70</v>
      </c>
      <c r="G580" s="1" t="s">
        <v>71</v>
      </c>
      <c r="H580" s="1" t="s">
        <v>15</v>
      </c>
      <c r="I580" s="3" t="str">
        <f>"1"</f>
        <v>1</v>
      </c>
      <c r="J580" s="3" t="str">
        <f>"14555"</f>
        <v>14555</v>
      </c>
      <c r="K580" s="2">
        <v>45913</v>
      </c>
      <c r="L580" s="2">
        <v>45927</v>
      </c>
      <c r="M580" s="1" t="s">
        <v>9708</v>
      </c>
      <c r="N580" s="1" t="s">
        <v>9707</v>
      </c>
    </row>
    <row r="581" spans="1:14" x14ac:dyDescent="0.35">
      <c r="A581" s="1" t="s">
        <v>4321</v>
      </c>
      <c r="B581" s="3" t="s">
        <v>3183</v>
      </c>
      <c r="C581" s="1" t="s">
        <v>3184</v>
      </c>
      <c r="D581" s="1" t="s">
        <v>9706</v>
      </c>
      <c r="E581" s="1" t="str">
        <f>"6115"</f>
        <v>6115</v>
      </c>
      <c r="F581" s="1" t="str">
        <f>"013199032"</f>
        <v>013199032</v>
      </c>
      <c r="G581" s="1" t="s">
        <v>1775</v>
      </c>
      <c r="H581" s="1" t="s">
        <v>15</v>
      </c>
      <c r="I581" s="3" t="str">
        <f>"1"</f>
        <v>1</v>
      </c>
      <c r="J581" s="3" t="str">
        <f>"17730"</f>
        <v>17730</v>
      </c>
      <c r="K581" s="2">
        <v>45913</v>
      </c>
      <c r="L581" s="2">
        <v>45927</v>
      </c>
      <c r="M581" s="1" t="s">
        <v>9705</v>
      </c>
      <c r="N581" s="1" t="s">
        <v>9704</v>
      </c>
    </row>
    <row r="582" spans="1:14" x14ac:dyDescent="0.35">
      <c r="A582" s="1" t="s">
        <v>4321</v>
      </c>
      <c r="B582" s="3" t="s">
        <v>3183</v>
      </c>
      <c r="C582" s="1" t="s">
        <v>3184</v>
      </c>
      <c r="D582" s="1" t="s">
        <v>9703</v>
      </c>
      <c r="E582" s="1" t="str">
        <f>"6210"</f>
        <v>6210</v>
      </c>
      <c r="F582" s="1" t="s">
        <v>400</v>
      </c>
      <c r="G582" s="1" t="s">
        <v>401</v>
      </c>
      <c r="H582" s="1" t="s">
        <v>15</v>
      </c>
      <c r="I582" s="3" t="str">
        <f>"2"</f>
        <v>2</v>
      </c>
      <c r="J582" s="3" t="str">
        <f>"1123"</f>
        <v>1123</v>
      </c>
      <c r="K582" s="2">
        <v>45913</v>
      </c>
      <c r="L582" s="2">
        <v>45927</v>
      </c>
      <c r="M582" s="1" t="s">
        <v>9702</v>
      </c>
      <c r="N582" s="1" t="s">
        <v>9701</v>
      </c>
    </row>
    <row r="583" spans="1:14" x14ac:dyDescent="0.35">
      <c r="A583" s="1" t="s">
        <v>4321</v>
      </c>
      <c r="B583" s="3" t="s">
        <v>806</v>
      </c>
      <c r="C583" s="1" t="s">
        <v>866</v>
      </c>
      <c r="D583" s="1" t="s">
        <v>9700</v>
      </c>
      <c r="E583" s="1" t="str">
        <f>"5855"</f>
        <v>5855</v>
      </c>
      <c r="F583" s="1" t="str">
        <f>"015936375"</f>
        <v>015936375</v>
      </c>
      <c r="G583" s="1" t="s">
        <v>1904</v>
      </c>
      <c r="H583" s="1" t="s">
        <v>15</v>
      </c>
      <c r="I583" s="3" t="str">
        <f>"18"</f>
        <v>18</v>
      </c>
      <c r="J583" s="3">
        <v>702.1</v>
      </c>
      <c r="K583" s="2">
        <v>45913</v>
      </c>
      <c r="L583" s="2">
        <v>45927</v>
      </c>
      <c r="M583" s="1" t="s">
        <v>9699</v>
      </c>
      <c r="N583" s="1" t="s">
        <v>9698</v>
      </c>
    </row>
    <row r="584" spans="1:14" x14ac:dyDescent="0.35">
      <c r="A584" s="1" t="s">
        <v>4321</v>
      </c>
      <c r="B584" s="3" t="s">
        <v>806</v>
      </c>
      <c r="C584" s="1" t="s">
        <v>866</v>
      </c>
      <c r="D584" s="1" t="s">
        <v>9697</v>
      </c>
      <c r="E584" s="1" t="str">
        <f>"6230"</f>
        <v>6230</v>
      </c>
      <c r="F584" s="1" t="str">
        <f>"015894822"</f>
        <v>015894822</v>
      </c>
      <c r="G584" s="1" t="s">
        <v>310</v>
      </c>
      <c r="H584" s="1" t="s">
        <v>15</v>
      </c>
      <c r="I584" s="3" t="str">
        <f>"100"</f>
        <v>100</v>
      </c>
      <c r="J584" s="3">
        <v>889.39</v>
      </c>
      <c r="K584" s="2">
        <v>45913</v>
      </c>
      <c r="L584" s="2">
        <v>45927</v>
      </c>
      <c r="M584" s="1" t="s">
        <v>9578</v>
      </c>
      <c r="N584" s="1" t="s">
        <v>9696</v>
      </c>
    </row>
    <row r="585" spans="1:14" x14ac:dyDescent="0.35">
      <c r="A585" s="1" t="s">
        <v>4321</v>
      </c>
      <c r="B585" s="3" t="s">
        <v>3183</v>
      </c>
      <c r="C585" s="1" t="s">
        <v>3241</v>
      </c>
      <c r="D585" s="1" t="s">
        <v>9695</v>
      </c>
      <c r="E585" s="1" t="str">
        <f>"2330"</f>
        <v>2330</v>
      </c>
      <c r="F585" s="1" t="s">
        <v>70</v>
      </c>
      <c r="G585" s="1" t="s">
        <v>71</v>
      </c>
      <c r="H585" s="1" t="s">
        <v>15</v>
      </c>
      <c r="I585" s="3" t="str">
        <f>"1"</f>
        <v>1</v>
      </c>
      <c r="J585" s="3" t="str">
        <f>"14555"</f>
        <v>14555</v>
      </c>
      <c r="K585" s="2">
        <v>45913</v>
      </c>
      <c r="L585" s="2">
        <v>45927</v>
      </c>
      <c r="M585" s="1" t="s">
        <v>9694</v>
      </c>
      <c r="N585" s="1" t="s">
        <v>9693</v>
      </c>
    </row>
    <row r="586" spans="1:14" x14ac:dyDescent="0.35">
      <c r="A586" s="1" t="s">
        <v>4321</v>
      </c>
      <c r="B586" s="3" t="s">
        <v>2494</v>
      </c>
      <c r="C586" s="1" t="s">
        <v>2521</v>
      </c>
      <c r="D586" s="1" t="s">
        <v>9692</v>
      </c>
      <c r="E586" s="1" t="str">
        <f>"2320"</f>
        <v>2320</v>
      </c>
      <c r="F586" s="1" t="str">
        <f>"014476343"</f>
        <v>014476343</v>
      </c>
      <c r="G586" s="1" t="s">
        <v>373</v>
      </c>
      <c r="H586" s="1" t="s">
        <v>15</v>
      </c>
      <c r="I586" s="3" t="str">
        <f>"1"</f>
        <v>1</v>
      </c>
      <c r="J586" s="3" t="str">
        <f>"176428"</f>
        <v>176428</v>
      </c>
      <c r="K586" s="2">
        <v>45913</v>
      </c>
      <c r="L586" s="2">
        <v>45927</v>
      </c>
      <c r="M586" s="1" t="s">
        <v>9691</v>
      </c>
      <c r="N586" s="1" t="s">
        <v>9690</v>
      </c>
    </row>
    <row r="587" spans="1:14" x14ac:dyDescent="0.35">
      <c r="A587" s="1" t="s">
        <v>4321</v>
      </c>
      <c r="B587" s="3" t="s">
        <v>3105</v>
      </c>
      <c r="C587" s="1" t="s">
        <v>8883</v>
      </c>
      <c r="D587" s="1" t="s">
        <v>9689</v>
      </c>
      <c r="E587" s="1" t="str">
        <f>"2320"</f>
        <v>2320</v>
      </c>
      <c r="F587" s="1" t="s">
        <v>321</v>
      </c>
      <c r="G587" s="1" t="s">
        <v>322</v>
      </c>
      <c r="H587" s="1" t="s">
        <v>15</v>
      </c>
      <c r="I587" s="3" t="str">
        <f>"1"</f>
        <v>1</v>
      </c>
      <c r="J587" s="3">
        <v>21545.32</v>
      </c>
      <c r="K587" s="2">
        <v>45913</v>
      </c>
      <c r="L587" s="2">
        <v>45927</v>
      </c>
      <c r="M587" s="1" t="s">
        <v>9688</v>
      </c>
      <c r="N587" s="1" t="s">
        <v>9687</v>
      </c>
    </row>
    <row r="588" spans="1:14" x14ac:dyDescent="0.35">
      <c r="A588" s="1" t="s">
        <v>4321</v>
      </c>
      <c r="B588" s="3" t="s">
        <v>93</v>
      </c>
      <c r="C588" s="1" t="s">
        <v>403</v>
      </c>
      <c r="D588" s="1" t="s">
        <v>9686</v>
      </c>
      <c r="E588" s="1" t="str">
        <f>"2320"</f>
        <v>2320</v>
      </c>
      <c r="F588" s="1" t="str">
        <f>"013455182"</f>
        <v>013455182</v>
      </c>
      <c r="G588" s="1" t="s">
        <v>1820</v>
      </c>
      <c r="H588" s="1" t="s">
        <v>15</v>
      </c>
      <c r="I588" s="3" t="str">
        <f>"1"</f>
        <v>1</v>
      </c>
      <c r="J588" s="3">
        <v>49520.89</v>
      </c>
      <c r="K588" s="2">
        <v>45913</v>
      </c>
      <c r="L588" s="2">
        <v>45927</v>
      </c>
      <c r="M588" s="1" t="s">
        <v>9685</v>
      </c>
      <c r="N588" s="1" t="s">
        <v>9684</v>
      </c>
    </row>
    <row r="589" spans="1:14" x14ac:dyDescent="0.35">
      <c r="A589" s="1" t="s">
        <v>4321</v>
      </c>
      <c r="B589" s="3" t="s">
        <v>93</v>
      </c>
      <c r="C589" s="1" t="s">
        <v>403</v>
      </c>
      <c r="D589" s="1" t="s">
        <v>9683</v>
      </c>
      <c r="E589" s="1" t="str">
        <f>"2320"</f>
        <v>2320</v>
      </c>
      <c r="F589" s="1" t="s">
        <v>321</v>
      </c>
      <c r="G589" s="1" t="s">
        <v>322</v>
      </c>
      <c r="H589" s="1" t="s">
        <v>15</v>
      </c>
      <c r="I589" s="3" t="str">
        <f>"1"</f>
        <v>1</v>
      </c>
      <c r="J589" s="3" t="str">
        <f>"134093"</f>
        <v>134093</v>
      </c>
      <c r="K589" s="2">
        <v>45913</v>
      </c>
      <c r="L589" s="2">
        <v>45927</v>
      </c>
      <c r="M589" s="1" t="s">
        <v>9682</v>
      </c>
      <c r="N589" s="1" t="s">
        <v>9681</v>
      </c>
    </row>
    <row r="590" spans="1:14" x14ac:dyDescent="0.35">
      <c r="A590" s="1" t="s">
        <v>4321</v>
      </c>
      <c r="B590" s="3" t="s">
        <v>2494</v>
      </c>
      <c r="C590" s="1" t="s">
        <v>2600</v>
      </c>
      <c r="D590" s="1" t="s">
        <v>9680</v>
      </c>
      <c r="E590" s="1" t="str">
        <f>"2320"</f>
        <v>2320</v>
      </c>
      <c r="F590" s="1" t="s">
        <v>321</v>
      </c>
      <c r="G590" s="1" t="s">
        <v>322</v>
      </c>
      <c r="H590" s="1" t="s">
        <v>15</v>
      </c>
      <c r="I590" s="3" t="str">
        <f>"1"</f>
        <v>1</v>
      </c>
      <c r="J590" s="3">
        <v>21545.32</v>
      </c>
      <c r="K590" s="2">
        <v>45913</v>
      </c>
      <c r="L590" s="2">
        <v>45927</v>
      </c>
      <c r="M590" s="1" t="s">
        <v>9679</v>
      </c>
      <c r="N590" s="1" t="s">
        <v>9678</v>
      </c>
    </row>
    <row r="591" spans="1:14" x14ac:dyDescent="0.35">
      <c r="A591" s="1" t="s">
        <v>4321</v>
      </c>
      <c r="B591" s="3" t="s">
        <v>2987</v>
      </c>
      <c r="C591" s="1" t="s">
        <v>3065</v>
      </c>
      <c r="D591" s="1" t="s">
        <v>9677</v>
      </c>
      <c r="E591" s="1" t="str">
        <f>"5855"</f>
        <v>5855</v>
      </c>
      <c r="F591" s="1" t="str">
        <f>"015936375"</f>
        <v>015936375</v>
      </c>
      <c r="G591" s="1" t="s">
        <v>1904</v>
      </c>
      <c r="H591" s="1" t="s">
        <v>15</v>
      </c>
      <c r="I591" s="3" t="str">
        <f>"38"</f>
        <v>38</v>
      </c>
      <c r="J591" s="3">
        <v>702.1</v>
      </c>
      <c r="K591" s="2">
        <v>45913</v>
      </c>
      <c r="L591" s="2">
        <v>45927</v>
      </c>
      <c r="M591" s="1" t="s">
        <v>9676</v>
      </c>
      <c r="N591" s="1" t="s">
        <v>9675</v>
      </c>
    </row>
    <row r="592" spans="1:14" x14ac:dyDescent="0.35">
      <c r="A592" s="1" t="s">
        <v>4321</v>
      </c>
      <c r="B592" s="3" t="s">
        <v>2494</v>
      </c>
      <c r="C592" s="1" t="s">
        <v>4610</v>
      </c>
      <c r="D592" s="1" t="s">
        <v>9674</v>
      </c>
      <c r="E592" s="1" t="str">
        <f>"4220"</f>
        <v>4220</v>
      </c>
      <c r="F592" s="1" t="str">
        <f>"012516466"</f>
        <v>012516466</v>
      </c>
      <c r="G592" s="1" t="s">
        <v>9673</v>
      </c>
      <c r="H592" s="1" t="s">
        <v>15</v>
      </c>
      <c r="I592" s="3" t="str">
        <f>"1"</f>
        <v>1</v>
      </c>
      <c r="J592" s="3">
        <v>677.2</v>
      </c>
      <c r="K592" s="2">
        <v>45904</v>
      </c>
      <c r="L592" s="2">
        <v>45927</v>
      </c>
      <c r="M592" s="1" t="s">
        <v>9672</v>
      </c>
      <c r="N592" s="1" t="s">
        <v>9671</v>
      </c>
    </row>
    <row r="593" spans="1:14" x14ac:dyDescent="0.35">
      <c r="A593" s="1" t="s">
        <v>4321</v>
      </c>
      <c r="B593" s="3" t="s">
        <v>2494</v>
      </c>
      <c r="C593" s="1" t="s">
        <v>4610</v>
      </c>
      <c r="D593" s="1" t="s">
        <v>9670</v>
      </c>
      <c r="E593" s="1" t="str">
        <f>"8415"</f>
        <v>8415</v>
      </c>
      <c r="F593" s="1" t="str">
        <f>"016570552"</f>
        <v>016570552</v>
      </c>
      <c r="G593" s="1" t="s">
        <v>9669</v>
      </c>
      <c r="H593" s="1" t="s">
        <v>847</v>
      </c>
      <c r="I593" s="3" t="str">
        <f>"3"</f>
        <v>3</v>
      </c>
      <c r="J593" s="3">
        <v>46.8</v>
      </c>
      <c r="K593" s="2">
        <v>45904</v>
      </c>
      <c r="L593" s="2">
        <v>45927</v>
      </c>
      <c r="M593" s="1" t="s">
        <v>9668</v>
      </c>
      <c r="N593" s="1" t="s">
        <v>9667</v>
      </c>
    </row>
    <row r="594" spans="1:14" x14ac:dyDescent="0.35">
      <c r="A594" s="1" t="s">
        <v>4321</v>
      </c>
      <c r="B594" s="3" t="s">
        <v>2494</v>
      </c>
      <c r="C594" s="1" t="s">
        <v>4610</v>
      </c>
      <c r="D594" s="1" t="s">
        <v>9666</v>
      </c>
      <c r="E594" s="1" t="str">
        <f>"6920"</f>
        <v>6920</v>
      </c>
      <c r="F594" s="1" t="s">
        <v>2759</v>
      </c>
      <c r="G594" s="1" t="s">
        <v>2760</v>
      </c>
      <c r="H594" s="1" t="s">
        <v>15</v>
      </c>
      <c r="I594" s="3" t="str">
        <f>"20"</f>
        <v>20</v>
      </c>
      <c r="J594" s="3" t="str">
        <f>"50"</f>
        <v>50</v>
      </c>
      <c r="K594" s="2">
        <v>45904</v>
      </c>
      <c r="L594" s="2">
        <v>45927</v>
      </c>
      <c r="M594" s="1" t="s">
        <v>9665</v>
      </c>
      <c r="N594" s="1" t="s">
        <v>9664</v>
      </c>
    </row>
    <row r="595" spans="1:14" x14ac:dyDescent="0.35">
      <c r="A595" s="1" t="s">
        <v>4321</v>
      </c>
      <c r="B595" s="3" t="s">
        <v>2494</v>
      </c>
      <c r="C595" s="1" t="s">
        <v>2521</v>
      </c>
      <c r="D595" s="1" t="s">
        <v>9663</v>
      </c>
      <c r="E595" s="1" t="str">
        <f>"5855"</f>
        <v>5855</v>
      </c>
      <c r="F595" s="1" t="str">
        <f>"015847217"</f>
        <v>015847217</v>
      </c>
      <c r="G595" s="1" t="s">
        <v>1942</v>
      </c>
      <c r="H595" s="1" t="s">
        <v>15</v>
      </c>
      <c r="I595" s="3" t="str">
        <f>"5"</f>
        <v>5</v>
      </c>
      <c r="J595" s="3" t="str">
        <f>"35674"</f>
        <v>35674</v>
      </c>
      <c r="K595" s="2">
        <v>45903</v>
      </c>
      <c r="L595" s="2">
        <v>45927</v>
      </c>
      <c r="M595" s="1" t="s">
        <v>2528</v>
      </c>
      <c r="N595" s="1" t="s">
        <v>9662</v>
      </c>
    </row>
    <row r="596" spans="1:14" x14ac:dyDescent="0.35">
      <c r="A596" s="1" t="s">
        <v>4321</v>
      </c>
      <c r="B596" s="3" t="s">
        <v>2494</v>
      </c>
      <c r="C596" s="1" t="s">
        <v>2521</v>
      </c>
      <c r="D596" s="1" t="s">
        <v>9661</v>
      </c>
      <c r="E596" s="1" t="str">
        <f>"5855"</f>
        <v>5855</v>
      </c>
      <c r="F596" s="1" t="str">
        <f>"014778738"</f>
        <v>014778738</v>
      </c>
      <c r="G596" s="1" t="s">
        <v>1942</v>
      </c>
      <c r="H596" s="1" t="s">
        <v>15</v>
      </c>
      <c r="I596" s="3" t="str">
        <f>"20"</f>
        <v>20</v>
      </c>
      <c r="J596" s="3" t="str">
        <f>"7830"</f>
        <v>7830</v>
      </c>
      <c r="K596" s="2">
        <v>45897</v>
      </c>
      <c r="L596" s="2">
        <v>45927</v>
      </c>
      <c r="M596" s="1" t="s">
        <v>9660</v>
      </c>
      <c r="N596" s="1" t="s">
        <v>9659</v>
      </c>
    </row>
    <row r="597" spans="1:14" x14ac:dyDescent="0.35">
      <c r="A597" s="1" t="s">
        <v>4321</v>
      </c>
      <c r="B597" s="3" t="s">
        <v>806</v>
      </c>
      <c r="C597" s="1" t="s">
        <v>866</v>
      </c>
      <c r="D597" s="1" t="s">
        <v>9658</v>
      </c>
      <c r="E597" s="1" t="str">
        <f>"5965"</f>
        <v>5965</v>
      </c>
      <c r="F597" s="1" t="str">
        <f>"015727941"</f>
        <v>015727941</v>
      </c>
      <c r="G597" s="1" t="s">
        <v>22</v>
      </c>
      <c r="H597" s="1" t="s">
        <v>19</v>
      </c>
      <c r="I597" s="3" t="str">
        <f>"21"</f>
        <v>21</v>
      </c>
      <c r="J597" s="3">
        <v>1483.55</v>
      </c>
      <c r="K597" s="2">
        <v>45924</v>
      </c>
      <c r="L597" s="2">
        <v>45926</v>
      </c>
      <c r="M597" s="1" t="s">
        <v>9657</v>
      </c>
      <c r="N597" s="1" t="s">
        <v>4343</v>
      </c>
    </row>
    <row r="598" spans="1:14" x14ac:dyDescent="0.35">
      <c r="A598" s="1" t="s">
        <v>4321</v>
      </c>
      <c r="B598" s="3" t="s">
        <v>2494</v>
      </c>
      <c r="C598" s="1" t="s">
        <v>2521</v>
      </c>
      <c r="D598" s="1" t="s">
        <v>9656</v>
      </c>
      <c r="E598" s="1" t="str">
        <f>"5965"</f>
        <v>5965</v>
      </c>
      <c r="F598" s="1" t="str">
        <f>"015727941"</f>
        <v>015727941</v>
      </c>
      <c r="G598" s="1" t="s">
        <v>22</v>
      </c>
      <c r="H598" s="1" t="s">
        <v>19</v>
      </c>
      <c r="I598" s="3" t="str">
        <f>"11"</f>
        <v>11</v>
      </c>
      <c r="J598" s="3">
        <v>1483.55</v>
      </c>
      <c r="K598" s="2">
        <v>45924</v>
      </c>
      <c r="L598" s="2">
        <v>45926</v>
      </c>
      <c r="M598" s="1" t="s">
        <v>9655</v>
      </c>
      <c r="N598" s="1" t="s">
        <v>9654</v>
      </c>
    </row>
    <row r="599" spans="1:14" x14ac:dyDescent="0.35">
      <c r="A599" s="1" t="s">
        <v>4321</v>
      </c>
      <c r="B599" s="3" t="s">
        <v>2114</v>
      </c>
      <c r="C599" s="1" t="s">
        <v>9243</v>
      </c>
      <c r="D599" s="1" t="s">
        <v>9653</v>
      </c>
      <c r="E599" s="1" t="str">
        <f>"5965"</f>
        <v>5965</v>
      </c>
      <c r="F599" s="1" t="str">
        <f>"015727941"</f>
        <v>015727941</v>
      </c>
      <c r="G599" s="1" t="s">
        <v>22</v>
      </c>
      <c r="H599" s="1" t="s">
        <v>19</v>
      </c>
      <c r="I599" s="3" t="str">
        <f>"10"</f>
        <v>10</v>
      </c>
      <c r="J599" s="3">
        <v>1483.55</v>
      </c>
      <c r="K599" s="2">
        <v>45924</v>
      </c>
      <c r="L599" s="2">
        <v>45926</v>
      </c>
      <c r="M599" s="1" t="s">
        <v>9652</v>
      </c>
      <c r="N599" s="1" t="s">
        <v>4343</v>
      </c>
    </row>
    <row r="600" spans="1:14" x14ac:dyDescent="0.35">
      <c r="A600" s="1" t="s">
        <v>4321</v>
      </c>
      <c r="B600" s="3" t="s">
        <v>2145</v>
      </c>
      <c r="C600" s="1" t="s">
        <v>9149</v>
      </c>
      <c r="D600" s="1" t="s">
        <v>9651</v>
      </c>
      <c r="E600" s="1" t="str">
        <f>"6115"</f>
        <v>6115</v>
      </c>
      <c r="F600" s="1" t="s">
        <v>174</v>
      </c>
      <c r="G600" s="1" t="s">
        <v>175</v>
      </c>
      <c r="H600" s="1" t="s">
        <v>15</v>
      </c>
      <c r="I600" s="3" t="str">
        <f>"1"</f>
        <v>1</v>
      </c>
      <c r="J600" s="3" t="str">
        <f>"1799"</f>
        <v>1799</v>
      </c>
      <c r="K600" s="2">
        <v>45924</v>
      </c>
      <c r="L600" s="2">
        <v>45926</v>
      </c>
      <c r="M600" s="1" t="s">
        <v>9650</v>
      </c>
      <c r="N600" s="1" t="s">
        <v>9649</v>
      </c>
    </row>
    <row r="601" spans="1:14" x14ac:dyDescent="0.35">
      <c r="A601" s="1" t="s">
        <v>4321</v>
      </c>
      <c r="B601" s="3" t="s">
        <v>2000</v>
      </c>
      <c r="C601" s="1" t="s">
        <v>2105</v>
      </c>
      <c r="D601" s="1" t="s">
        <v>9648</v>
      </c>
      <c r="E601" s="1" t="str">
        <f>"5965"</f>
        <v>5965</v>
      </c>
      <c r="F601" s="1" t="str">
        <f>"015727941"</f>
        <v>015727941</v>
      </c>
      <c r="G601" s="1" t="s">
        <v>22</v>
      </c>
      <c r="H601" s="1" t="s">
        <v>19</v>
      </c>
      <c r="I601" s="3" t="str">
        <f>"11"</f>
        <v>11</v>
      </c>
      <c r="J601" s="3">
        <v>1483.55</v>
      </c>
      <c r="K601" s="2">
        <v>45924</v>
      </c>
      <c r="L601" s="2">
        <v>45926</v>
      </c>
      <c r="M601" s="1" t="s">
        <v>9647</v>
      </c>
      <c r="N601" s="1" t="s">
        <v>9646</v>
      </c>
    </row>
    <row r="602" spans="1:14" x14ac:dyDescent="0.35">
      <c r="A602" s="1" t="s">
        <v>4321</v>
      </c>
      <c r="B602" s="3" t="s">
        <v>3183</v>
      </c>
      <c r="C602" s="1" t="s">
        <v>3487</v>
      </c>
      <c r="D602" s="1" t="s">
        <v>9645</v>
      </c>
      <c r="E602" s="1" t="str">
        <f>"2320"</f>
        <v>2320</v>
      </c>
      <c r="F602" s="1" t="str">
        <f>"011644815"</f>
        <v>011644815</v>
      </c>
      <c r="G602" s="1" t="s">
        <v>373</v>
      </c>
      <c r="H602" s="1" t="s">
        <v>15</v>
      </c>
      <c r="I602" s="3" t="str">
        <f>"1"</f>
        <v>1</v>
      </c>
      <c r="J602" s="3" t="str">
        <f>"5000"</f>
        <v>5000</v>
      </c>
      <c r="K602" s="2">
        <v>45924</v>
      </c>
      <c r="L602" s="2">
        <v>45926</v>
      </c>
      <c r="M602" s="1" t="s">
        <v>9644</v>
      </c>
      <c r="N602" s="1" t="s">
        <v>9643</v>
      </c>
    </row>
    <row r="603" spans="1:14" x14ac:dyDescent="0.35">
      <c r="A603" s="1" t="s">
        <v>4321</v>
      </c>
      <c r="B603" s="3" t="s">
        <v>3183</v>
      </c>
      <c r="C603" s="1" t="s">
        <v>3487</v>
      </c>
      <c r="D603" s="1" t="s">
        <v>9645</v>
      </c>
      <c r="E603" s="1" t="str">
        <f>"2320"</f>
        <v>2320</v>
      </c>
      <c r="F603" s="1" t="str">
        <f>"011644815"</f>
        <v>011644815</v>
      </c>
      <c r="G603" s="1" t="s">
        <v>373</v>
      </c>
      <c r="H603" s="1" t="s">
        <v>15</v>
      </c>
      <c r="I603" s="3" t="str">
        <f>"1"</f>
        <v>1</v>
      </c>
      <c r="J603" s="3" t="str">
        <f>"5000"</f>
        <v>5000</v>
      </c>
      <c r="K603" s="2">
        <v>45924</v>
      </c>
      <c r="L603" s="2">
        <v>45926</v>
      </c>
      <c r="M603" s="1" t="s">
        <v>9644</v>
      </c>
      <c r="N603" s="1" t="s">
        <v>9643</v>
      </c>
    </row>
    <row r="604" spans="1:14" x14ac:dyDescent="0.35">
      <c r="A604" s="1" t="s">
        <v>4321</v>
      </c>
      <c r="B604" s="3" t="s">
        <v>2444</v>
      </c>
      <c r="C604" s="1" t="s">
        <v>9642</v>
      </c>
      <c r="D604" s="1" t="s">
        <v>9641</v>
      </c>
      <c r="E604" s="1" t="str">
        <f>"6530"</f>
        <v>6530</v>
      </c>
      <c r="F604" s="1" t="str">
        <f>"015277507"</f>
        <v>015277507</v>
      </c>
      <c r="G604" s="1" t="s">
        <v>9640</v>
      </c>
      <c r="H604" s="1" t="s">
        <v>15</v>
      </c>
      <c r="I604" s="3" t="str">
        <f>"1"</f>
        <v>1</v>
      </c>
      <c r="J604" s="3">
        <v>12860.71</v>
      </c>
      <c r="K604" s="2">
        <v>45924</v>
      </c>
      <c r="L604" s="2">
        <v>45926</v>
      </c>
      <c r="M604" s="1" t="s">
        <v>9639</v>
      </c>
      <c r="N604" s="1" t="s">
        <v>9638</v>
      </c>
    </row>
    <row r="605" spans="1:14" x14ac:dyDescent="0.35">
      <c r="A605" s="1" t="s">
        <v>4321</v>
      </c>
      <c r="B605" s="3" t="s">
        <v>2248</v>
      </c>
      <c r="C605" s="1" t="s">
        <v>2265</v>
      </c>
      <c r="D605" s="1" t="s">
        <v>9637</v>
      </c>
      <c r="E605" s="1" t="str">
        <f>"6230"</f>
        <v>6230</v>
      </c>
      <c r="F605" s="1" t="str">
        <f>"015894822"</f>
        <v>015894822</v>
      </c>
      <c r="G605" s="1" t="s">
        <v>310</v>
      </c>
      <c r="H605" s="1" t="s">
        <v>15</v>
      </c>
      <c r="I605" s="3" t="str">
        <f>"22"</f>
        <v>22</v>
      </c>
      <c r="J605" s="3">
        <v>889.39</v>
      </c>
      <c r="K605" s="2">
        <v>45923</v>
      </c>
      <c r="L605" s="2">
        <v>45926</v>
      </c>
      <c r="M605" s="1" t="s">
        <v>7231</v>
      </c>
      <c r="N605" s="1" t="s">
        <v>4343</v>
      </c>
    </row>
    <row r="606" spans="1:14" x14ac:dyDescent="0.35">
      <c r="A606" s="1" t="s">
        <v>4321</v>
      </c>
      <c r="B606" s="3" t="s">
        <v>2248</v>
      </c>
      <c r="C606" s="1" t="s">
        <v>2357</v>
      </c>
      <c r="D606" s="1" t="s">
        <v>9636</v>
      </c>
      <c r="E606" s="1" t="str">
        <f>"6230"</f>
        <v>6230</v>
      </c>
      <c r="F606" s="1" t="str">
        <f>"015894822"</f>
        <v>015894822</v>
      </c>
      <c r="G606" s="1" t="s">
        <v>310</v>
      </c>
      <c r="H606" s="1" t="s">
        <v>15</v>
      </c>
      <c r="I606" s="3" t="str">
        <f>"15"</f>
        <v>15</v>
      </c>
      <c r="J606" s="3">
        <v>889.39</v>
      </c>
      <c r="K606" s="2">
        <v>45923</v>
      </c>
      <c r="L606" s="2">
        <v>45926</v>
      </c>
      <c r="M606" s="1" t="s">
        <v>9635</v>
      </c>
      <c r="N606" s="1" t="s">
        <v>9634</v>
      </c>
    </row>
    <row r="607" spans="1:14" x14ac:dyDescent="0.35">
      <c r="A607" s="1" t="s">
        <v>4321</v>
      </c>
      <c r="B607" s="3" t="s">
        <v>3105</v>
      </c>
      <c r="C607" s="1" t="s">
        <v>3141</v>
      </c>
      <c r="D607" s="1" t="s">
        <v>9633</v>
      </c>
      <c r="E607" s="1" t="str">
        <f>"6230"</f>
        <v>6230</v>
      </c>
      <c r="F607" s="1" t="str">
        <f>"015894822"</f>
        <v>015894822</v>
      </c>
      <c r="G607" s="1" t="s">
        <v>310</v>
      </c>
      <c r="H607" s="1" t="s">
        <v>15</v>
      </c>
      <c r="I607" s="3" t="str">
        <f>"30"</f>
        <v>30</v>
      </c>
      <c r="J607" s="3">
        <v>889.39</v>
      </c>
      <c r="K607" s="2">
        <v>45923</v>
      </c>
      <c r="L607" s="2">
        <v>45926</v>
      </c>
      <c r="M607" s="1" t="s">
        <v>9632</v>
      </c>
      <c r="N607" s="1" t="s">
        <v>9631</v>
      </c>
    </row>
    <row r="608" spans="1:14" x14ac:dyDescent="0.35">
      <c r="A608" s="1" t="s">
        <v>4321</v>
      </c>
      <c r="B608" s="3" t="s">
        <v>93</v>
      </c>
      <c r="C608" s="1" t="s">
        <v>450</v>
      </c>
      <c r="D608" s="1" t="s">
        <v>9630</v>
      </c>
      <c r="E608" s="1" t="str">
        <f>"6230"</f>
        <v>6230</v>
      </c>
      <c r="F608" s="1" t="str">
        <f>"015894822"</f>
        <v>015894822</v>
      </c>
      <c r="G608" s="1" t="s">
        <v>310</v>
      </c>
      <c r="H608" s="1" t="s">
        <v>15</v>
      </c>
      <c r="I608" s="3" t="str">
        <f>"83"</f>
        <v>83</v>
      </c>
      <c r="J608" s="3">
        <v>889.39</v>
      </c>
      <c r="K608" s="2">
        <v>45923</v>
      </c>
      <c r="L608" s="2">
        <v>45926</v>
      </c>
      <c r="M608" s="1" t="s">
        <v>9629</v>
      </c>
      <c r="N608" s="1" t="s">
        <v>4343</v>
      </c>
    </row>
    <row r="609" spans="1:14" x14ac:dyDescent="0.35">
      <c r="A609" s="1" t="s">
        <v>4321</v>
      </c>
      <c r="B609" s="3" t="s">
        <v>3513</v>
      </c>
      <c r="C609" s="1" t="s">
        <v>3514</v>
      </c>
      <c r="D609" s="1" t="s">
        <v>9628</v>
      </c>
      <c r="E609" s="1" t="str">
        <f>"6230"</f>
        <v>6230</v>
      </c>
      <c r="F609" s="1" t="str">
        <f>"015894822"</f>
        <v>015894822</v>
      </c>
      <c r="G609" s="1" t="s">
        <v>310</v>
      </c>
      <c r="H609" s="1" t="s">
        <v>15</v>
      </c>
      <c r="I609" s="3" t="str">
        <f>"10"</f>
        <v>10</v>
      </c>
      <c r="J609" s="3">
        <v>889.39</v>
      </c>
      <c r="K609" s="2">
        <v>45922</v>
      </c>
      <c r="L609" s="2">
        <v>45926</v>
      </c>
      <c r="M609" s="1" t="s">
        <v>9627</v>
      </c>
      <c r="N609" s="1" t="s">
        <v>9626</v>
      </c>
    </row>
    <row r="610" spans="1:14" x14ac:dyDescent="0.35">
      <c r="A610" s="1" t="s">
        <v>4321</v>
      </c>
      <c r="B610" s="3" t="s">
        <v>93</v>
      </c>
      <c r="C610" s="1" t="s">
        <v>104</v>
      </c>
      <c r="D610" s="1" t="s">
        <v>9625</v>
      </c>
      <c r="E610" s="1" t="str">
        <f>"6230"</f>
        <v>6230</v>
      </c>
      <c r="F610" s="1" t="str">
        <f>"015894822"</f>
        <v>015894822</v>
      </c>
      <c r="G610" s="1" t="s">
        <v>310</v>
      </c>
      <c r="H610" s="1" t="s">
        <v>15</v>
      </c>
      <c r="I610" s="3" t="str">
        <f>"15"</f>
        <v>15</v>
      </c>
      <c r="J610" s="3">
        <v>889.39</v>
      </c>
      <c r="K610" s="2">
        <v>45922</v>
      </c>
      <c r="L610" s="2">
        <v>45926</v>
      </c>
      <c r="M610" s="1" t="s">
        <v>9624</v>
      </c>
      <c r="N610" s="1" t="s">
        <v>9623</v>
      </c>
    </row>
    <row r="611" spans="1:14" x14ac:dyDescent="0.35">
      <c r="A611" s="1" t="s">
        <v>4321</v>
      </c>
      <c r="B611" s="3" t="s">
        <v>1848</v>
      </c>
      <c r="C611" s="1" t="s">
        <v>9620</v>
      </c>
      <c r="D611" s="1" t="s">
        <v>9622</v>
      </c>
      <c r="E611" s="1" t="str">
        <f>"2340"</f>
        <v>2340</v>
      </c>
      <c r="F611" s="1" t="str">
        <f>"016072482"</f>
        <v>016072482</v>
      </c>
      <c r="G611" s="1" t="s">
        <v>2167</v>
      </c>
      <c r="H611" s="1" t="s">
        <v>15</v>
      </c>
      <c r="I611" s="3" t="str">
        <f>"1"</f>
        <v>1</v>
      </c>
      <c r="J611" s="3" t="str">
        <f>"14918"</f>
        <v>14918</v>
      </c>
      <c r="K611" s="2">
        <v>45922</v>
      </c>
      <c r="L611" s="2">
        <v>45926</v>
      </c>
      <c r="M611" s="1" t="s">
        <v>9618</v>
      </c>
      <c r="N611" s="1" t="s">
        <v>9621</v>
      </c>
    </row>
    <row r="612" spans="1:14" x14ac:dyDescent="0.35">
      <c r="A612" s="1" t="s">
        <v>4321</v>
      </c>
      <c r="B612" s="3" t="s">
        <v>1848</v>
      </c>
      <c r="C612" s="1" t="s">
        <v>9620</v>
      </c>
      <c r="D612" s="1" t="s">
        <v>9619</v>
      </c>
      <c r="E612" s="1" t="str">
        <f>"2340"</f>
        <v>2340</v>
      </c>
      <c r="F612" s="1" t="str">
        <f>"016072482"</f>
        <v>016072482</v>
      </c>
      <c r="G612" s="1" t="s">
        <v>2167</v>
      </c>
      <c r="H612" s="1" t="s">
        <v>15</v>
      </c>
      <c r="I612" s="3" t="str">
        <f>"2"</f>
        <v>2</v>
      </c>
      <c r="J612" s="3" t="str">
        <f>"14918"</f>
        <v>14918</v>
      </c>
      <c r="K612" s="2">
        <v>45922</v>
      </c>
      <c r="L612" s="2">
        <v>45926</v>
      </c>
      <c r="M612" s="1" t="s">
        <v>9618</v>
      </c>
      <c r="N612" s="1" t="s">
        <v>9617</v>
      </c>
    </row>
    <row r="613" spans="1:14" x14ac:dyDescent="0.35">
      <c r="A613" s="1" t="s">
        <v>4321</v>
      </c>
      <c r="B613" s="3" t="s">
        <v>4253</v>
      </c>
      <c r="C613" s="1" t="s">
        <v>9616</v>
      </c>
      <c r="D613" s="1" t="s">
        <v>9615</v>
      </c>
      <c r="E613" s="1" t="str">
        <f>"2340"</f>
        <v>2340</v>
      </c>
      <c r="F613" s="1" t="str">
        <f>"016072482"</f>
        <v>016072482</v>
      </c>
      <c r="G613" s="1" t="s">
        <v>2167</v>
      </c>
      <c r="H613" s="1" t="s">
        <v>15</v>
      </c>
      <c r="I613" s="3" t="str">
        <f>"1"</f>
        <v>1</v>
      </c>
      <c r="J613" s="3" t="str">
        <f>"14918"</f>
        <v>14918</v>
      </c>
      <c r="K613" s="2">
        <v>45922</v>
      </c>
      <c r="L613" s="2">
        <v>45926</v>
      </c>
      <c r="M613" s="1" t="s">
        <v>9614</v>
      </c>
      <c r="N613" s="1" t="s">
        <v>9613</v>
      </c>
    </row>
    <row r="614" spans="1:14" x14ac:dyDescent="0.35">
      <c r="A614" s="1" t="s">
        <v>4321</v>
      </c>
      <c r="B614" s="3" t="s">
        <v>806</v>
      </c>
      <c r="C614" s="1" t="s">
        <v>866</v>
      </c>
      <c r="D614" s="1" t="s">
        <v>9612</v>
      </c>
      <c r="E614" s="1" t="str">
        <f>"6230"</f>
        <v>6230</v>
      </c>
      <c r="F614" s="1" t="str">
        <f>"016178332"</f>
        <v>016178332</v>
      </c>
      <c r="G614" s="1" t="s">
        <v>538</v>
      </c>
      <c r="H614" s="1" t="s">
        <v>15</v>
      </c>
      <c r="I614" s="3" t="str">
        <f>"51"</f>
        <v>51</v>
      </c>
      <c r="J614" s="3">
        <v>462.78</v>
      </c>
      <c r="K614" s="2">
        <v>45922</v>
      </c>
      <c r="L614" s="2">
        <v>45926</v>
      </c>
      <c r="M614" s="1" t="s">
        <v>9611</v>
      </c>
      <c r="N614" s="1" t="s">
        <v>9610</v>
      </c>
    </row>
    <row r="615" spans="1:14" x14ac:dyDescent="0.35">
      <c r="A615" s="1" t="s">
        <v>4321</v>
      </c>
      <c r="B615" s="3" t="s">
        <v>1848</v>
      </c>
      <c r="C615" s="1" t="s">
        <v>1849</v>
      </c>
      <c r="D615" s="1" t="s">
        <v>9609</v>
      </c>
      <c r="E615" s="1" t="str">
        <f>"2340"</f>
        <v>2340</v>
      </c>
      <c r="F615" s="1" t="str">
        <f>"016072482"</f>
        <v>016072482</v>
      </c>
      <c r="G615" s="1" t="s">
        <v>2167</v>
      </c>
      <c r="H615" s="1" t="s">
        <v>15</v>
      </c>
      <c r="I615" s="3" t="str">
        <f>"3"</f>
        <v>3</v>
      </c>
      <c r="J615" s="3" t="str">
        <f>"14918"</f>
        <v>14918</v>
      </c>
      <c r="K615" s="2">
        <v>45922</v>
      </c>
      <c r="L615" s="2">
        <v>45926</v>
      </c>
      <c r="M615" s="1" t="s">
        <v>9608</v>
      </c>
      <c r="N615" s="1" t="s">
        <v>9607</v>
      </c>
    </row>
    <row r="616" spans="1:14" x14ac:dyDescent="0.35">
      <c r="A616" s="1" t="s">
        <v>4321</v>
      </c>
      <c r="B616" s="3" t="s">
        <v>1848</v>
      </c>
      <c r="C616" s="1" t="s">
        <v>1849</v>
      </c>
      <c r="D616" s="1" t="s">
        <v>9606</v>
      </c>
      <c r="E616" s="1" t="str">
        <f>"2320"</f>
        <v>2320</v>
      </c>
      <c r="F616" s="1" t="str">
        <f>"007529289"</f>
        <v>007529289</v>
      </c>
      <c r="G616" s="1" t="s">
        <v>373</v>
      </c>
      <c r="H616" s="1" t="s">
        <v>15</v>
      </c>
      <c r="I616" s="3" t="str">
        <f>"1"</f>
        <v>1</v>
      </c>
      <c r="J616" s="3" t="str">
        <f>"4202"</f>
        <v>4202</v>
      </c>
      <c r="K616" s="2">
        <v>45922</v>
      </c>
      <c r="L616" s="2">
        <v>45926</v>
      </c>
      <c r="M616" s="1" t="s">
        <v>9605</v>
      </c>
      <c r="N616" s="1" t="s">
        <v>9604</v>
      </c>
    </row>
    <row r="617" spans="1:14" x14ac:dyDescent="0.35">
      <c r="A617" s="1" t="s">
        <v>4321</v>
      </c>
      <c r="B617" s="3" t="s">
        <v>2244</v>
      </c>
      <c r="C617" s="1" t="s">
        <v>9444</v>
      </c>
      <c r="D617" s="1" t="s">
        <v>9603</v>
      </c>
      <c r="E617" s="1" t="str">
        <f>"2320"</f>
        <v>2320</v>
      </c>
      <c r="F617" s="1" t="str">
        <f>"007529289"</f>
        <v>007529289</v>
      </c>
      <c r="G617" s="1" t="s">
        <v>373</v>
      </c>
      <c r="H617" s="1" t="s">
        <v>15</v>
      </c>
      <c r="I617" s="3" t="str">
        <f>"1"</f>
        <v>1</v>
      </c>
      <c r="J617" s="3" t="str">
        <f>"4202"</f>
        <v>4202</v>
      </c>
      <c r="K617" s="2">
        <v>45922</v>
      </c>
      <c r="L617" s="2">
        <v>45926</v>
      </c>
      <c r="M617" s="1" t="s">
        <v>9602</v>
      </c>
      <c r="N617" s="1" t="s">
        <v>9601</v>
      </c>
    </row>
    <row r="618" spans="1:14" x14ac:dyDescent="0.35">
      <c r="A618" s="1" t="s">
        <v>4321</v>
      </c>
      <c r="B618" s="3" t="s">
        <v>3183</v>
      </c>
      <c r="C618" s="1" t="s">
        <v>3364</v>
      </c>
      <c r="D618" s="1" t="s">
        <v>9600</v>
      </c>
      <c r="E618" s="1" t="str">
        <f>"6230"</f>
        <v>6230</v>
      </c>
      <c r="F618" s="1" t="str">
        <f>"015894822"</f>
        <v>015894822</v>
      </c>
      <c r="G618" s="1" t="s">
        <v>310</v>
      </c>
      <c r="H618" s="1" t="s">
        <v>15</v>
      </c>
      <c r="I618" s="3" t="str">
        <f>"40"</f>
        <v>40</v>
      </c>
      <c r="J618" s="3">
        <v>889.39</v>
      </c>
      <c r="K618" s="2">
        <v>45922</v>
      </c>
      <c r="L618" s="2">
        <v>45926</v>
      </c>
      <c r="M618" s="1" t="s">
        <v>9599</v>
      </c>
      <c r="N618" s="1" t="s">
        <v>9598</v>
      </c>
    </row>
    <row r="619" spans="1:14" x14ac:dyDescent="0.35">
      <c r="A619" s="1" t="s">
        <v>4321</v>
      </c>
      <c r="B619" s="3" t="s">
        <v>806</v>
      </c>
      <c r="C619" s="1" t="s">
        <v>870</v>
      </c>
      <c r="D619" s="1" t="s">
        <v>9597</v>
      </c>
      <c r="E619" s="1" t="str">
        <f>"6230"</f>
        <v>6230</v>
      </c>
      <c r="F619" s="1" t="str">
        <f>"016178332"</f>
        <v>016178332</v>
      </c>
      <c r="G619" s="1" t="s">
        <v>538</v>
      </c>
      <c r="H619" s="1" t="s">
        <v>15</v>
      </c>
      <c r="I619" s="3" t="str">
        <f>"51"</f>
        <v>51</v>
      </c>
      <c r="J619" s="3">
        <v>462.78</v>
      </c>
      <c r="K619" s="2">
        <v>45922</v>
      </c>
      <c r="L619" s="2">
        <v>45926</v>
      </c>
      <c r="M619" s="1" t="s">
        <v>9596</v>
      </c>
      <c r="N619" s="1" t="s">
        <v>9595</v>
      </c>
    </row>
    <row r="620" spans="1:14" x14ac:dyDescent="0.35">
      <c r="A620" s="1" t="s">
        <v>4321</v>
      </c>
      <c r="B620" s="3" t="s">
        <v>4087</v>
      </c>
      <c r="C620" s="1" t="s">
        <v>4241</v>
      </c>
      <c r="D620" s="1" t="s">
        <v>9594</v>
      </c>
      <c r="E620" s="1" t="str">
        <f>"2340"</f>
        <v>2340</v>
      </c>
      <c r="F620" s="1" t="str">
        <f>"016072482"</f>
        <v>016072482</v>
      </c>
      <c r="G620" s="1" t="s">
        <v>2167</v>
      </c>
      <c r="H620" s="1" t="s">
        <v>15</v>
      </c>
      <c r="I620" s="3" t="str">
        <f>"3"</f>
        <v>3</v>
      </c>
      <c r="J620" s="3" t="str">
        <f>"14918"</f>
        <v>14918</v>
      </c>
      <c r="K620" s="2">
        <v>45922</v>
      </c>
      <c r="L620" s="2">
        <v>45926</v>
      </c>
      <c r="M620" s="1" t="s">
        <v>9593</v>
      </c>
      <c r="N620" s="1" t="s">
        <v>9592</v>
      </c>
    </row>
    <row r="621" spans="1:14" x14ac:dyDescent="0.35">
      <c r="A621" s="1" t="s">
        <v>4321</v>
      </c>
      <c r="B621" s="3" t="s">
        <v>2145</v>
      </c>
      <c r="C621" s="1" t="s">
        <v>9149</v>
      </c>
      <c r="D621" s="1" t="s">
        <v>9591</v>
      </c>
      <c r="E621" s="1" t="str">
        <f>"2340"</f>
        <v>2340</v>
      </c>
      <c r="F621" s="1" t="str">
        <f>"016072482"</f>
        <v>016072482</v>
      </c>
      <c r="G621" s="1" t="s">
        <v>2167</v>
      </c>
      <c r="H621" s="1" t="s">
        <v>15</v>
      </c>
      <c r="I621" s="3" t="str">
        <f>"1"</f>
        <v>1</v>
      </c>
      <c r="J621" s="3" t="str">
        <f>"14918"</f>
        <v>14918</v>
      </c>
      <c r="K621" s="2">
        <v>45921</v>
      </c>
      <c r="L621" s="2">
        <v>45926</v>
      </c>
      <c r="M621" s="1" t="s">
        <v>9590</v>
      </c>
      <c r="N621" s="1" t="s">
        <v>9589</v>
      </c>
    </row>
    <row r="622" spans="1:14" x14ac:dyDescent="0.35">
      <c r="A622" s="1" t="s">
        <v>4321</v>
      </c>
      <c r="B622" s="3" t="s">
        <v>2494</v>
      </c>
      <c r="C622" s="1" t="s">
        <v>2600</v>
      </c>
      <c r="D622" s="1" t="s">
        <v>9588</v>
      </c>
      <c r="E622" s="1" t="str">
        <f>"2340"</f>
        <v>2340</v>
      </c>
      <c r="F622" s="1" t="str">
        <f>"016072482"</f>
        <v>016072482</v>
      </c>
      <c r="G622" s="1" t="s">
        <v>2167</v>
      </c>
      <c r="H622" s="1" t="s">
        <v>15</v>
      </c>
      <c r="I622" s="3" t="str">
        <f>"1"</f>
        <v>1</v>
      </c>
      <c r="J622" s="3" t="str">
        <f>"14918"</f>
        <v>14918</v>
      </c>
      <c r="K622" s="2">
        <v>45921</v>
      </c>
      <c r="L622" s="2">
        <v>45926</v>
      </c>
      <c r="M622" s="1" t="s">
        <v>9587</v>
      </c>
      <c r="N622" s="1" t="s">
        <v>9586</v>
      </c>
    </row>
    <row r="623" spans="1:14" x14ac:dyDescent="0.35">
      <c r="A623" s="1" t="s">
        <v>4321</v>
      </c>
      <c r="B623" s="3" t="s">
        <v>691</v>
      </c>
      <c r="C623" s="1" t="s">
        <v>701</v>
      </c>
      <c r="D623" s="1" t="s">
        <v>9585</v>
      </c>
      <c r="E623" s="1" t="str">
        <f>"2340"</f>
        <v>2340</v>
      </c>
      <c r="F623" s="1" t="str">
        <f>"016072482"</f>
        <v>016072482</v>
      </c>
      <c r="G623" s="1" t="s">
        <v>2167</v>
      </c>
      <c r="H623" s="1" t="s">
        <v>15</v>
      </c>
      <c r="I623" s="3" t="str">
        <f>"2"</f>
        <v>2</v>
      </c>
      <c r="J623" s="3" t="str">
        <f>"14918"</f>
        <v>14918</v>
      </c>
      <c r="K623" s="2">
        <v>45920</v>
      </c>
      <c r="L623" s="2">
        <v>45926</v>
      </c>
      <c r="M623" s="1" t="s">
        <v>9584</v>
      </c>
      <c r="N623" s="1" t="s">
        <v>4343</v>
      </c>
    </row>
    <row r="624" spans="1:14" x14ac:dyDescent="0.35">
      <c r="A624" s="1" t="s">
        <v>4321</v>
      </c>
      <c r="B624" s="3" t="s">
        <v>2000</v>
      </c>
      <c r="C624" s="1" t="s">
        <v>2078</v>
      </c>
      <c r="D624" s="1" t="s">
        <v>9583</v>
      </c>
      <c r="E624" s="1" t="str">
        <f>"3431"</f>
        <v>3431</v>
      </c>
      <c r="F624" s="1" t="str">
        <f>"006911415"</f>
        <v>006911415</v>
      </c>
      <c r="G624" s="1" t="s">
        <v>9582</v>
      </c>
      <c r="H624" s="1" t="s">
        <v>15</v>
      </c>
      <c r="I624" s="3" t="str">
        <f>"1"</f>
        <v>1</v>
      </c>
      <c r="J624" s="3" t="str">
        <f>"1805"</f>
        <v>1805</v>
      </c>
      <c r="K624" s="2">
        <v>45920</v>
      </c>
      <c r="L624" s="2">
        <v>45926</v>
      </c>
      <c r="M624" s="1" t="s">
        <v>9581</v>
      </c>
      <c r="N624" s="1" t="s">
        <v>9580</v>
      </c>
    </row>
    <row r="625" spans="1:14" x14ac:dyDescent="0.35">
      <c r="A625" s="1" t="s">
        <v>4321</v>
      </c>
      <c r="B625" s="3" t="s">
        <v>806</v>
      </c>
      <c r="C625" s="1" t="s">
        <v>866</v>
      </c>
      <c r="D625" s="1" t="s">
        <v>9579</v>
      </c>
      <c r="E625" s="1" t="str">
        <f>"6230"</f>
        <v>6230</v>
      </c>
      <c r="F625" s="1" t="str">
        <f>"015894822"</f>
        <v>015894822</v>
      </c>
      <c r="G625" s="1" t="s">
        <v>310</v>
      </c>
      <c r="H625" s="1" t="s">
        <v>15</v>
      </c>
      <c r="I625" s="3" t="str">
        <f>"123"</f>
        <v>123</v>
      </c>
      <c r="J625" s="3">
        <v>889.39</v>
      </c>
      <c r="K625" s="2">
        <v>45913</v>
      </c>
      <c r="L625" s="2">
        <v>45926</v>
      </c>
      <c r="M625" s="1" t="s">
        <v>9578</v>
      </c>
      <c r="N625" s="1" t="s">
        <v>9577</v>
      </c>
    </row>
    <row r="626" spans="1:14" x14ac:dyDescent="0.35">
      <c r="A626" s="1" t="s">
        <v>4321</v>
      </c>
      <c r="B626" s="3" t="s">
        <v>1944</v>
      </c>
      <c r="C626" s="1" t="s">
        <v>8687</v>
      </c>
      <c r="D626" s="1" t="s">
        <v>9576</v>
      </c>
      <c r="E626" s="1" t="str">
        <f>"6230"</f>
        <v>6230</v>
      </c>
      <c r="F626" s="1" t="str">
        <f>"016134312"</f>
        <v>016134312</v>
      </c>
      <c r="G626" s="1" t="s">
        <v>538</v>
      </c>
      <c r="H626" s="1" t="s">
        <v>15</v>
      </c>
      <c r="I626" s="3" t="str">
        <f>"6"</f>
        <v>6</v>
      </c>
      <c r="J626" s="3">
        <v>125.19</v>
      </c>
      <c r="K626" s="2">
        <v>45913</v>
      </c>
      <c r="L626" s="2">
        <v>45926</v>
      </c>
      <c r="M626" s="1" t="s">
        <v>9575</v>
      </c>
      <c r="N626" s="1" t="s">
        <v>9574</v>
      </c>
    </row>
    <row r="627" spans="1:14" x14ac:dyDescent="0.35">
      <c r="A627" s="1" t="s">
        <v>4321</v>
      </c>
      <c r="B627" s="3" t="s">
        <v>2720</v>
      </c>
      <c r="C627" s="1" t="s">
        <v>2765</v>
      </c>
      <c r="D627" s="1" t="s">
        <v>9573</v>
      </c>
      <c r="E627" s="1" t="str">
        <f>"6115"</f>
        <v>6115</v>
      </c>
      <c r="F627" s="1" t="str">
        <f>"015301458"</f>
        <v>015301458</v>
      </c>
      <c r="G627" s="1" t="s">
        <v>435</v>
      </c>
      <c r="H627" s="1" t="s">
        <v>15</v>
      </c>
      <c r="I627" s="3" t="str">
        <f>"1"</f>
        <v>1</v>
      </c>
      <c r="J627" s="3" t="str">
        <f>"26334"</f>
        <v>26334</v>
      </c>
      <c r="K627" s="2">
        <v>45909</v>
      </c>
      <c r="L627" s="2">
        <v>45926</v>
      </c>
      <c r="M627" s="1" t="s">
        <v>9572</v>
      </c>
      <c r="N627" s="1" t="s">
        <v>9571</v>
      </c>
    </row>
    <row r="628" spans="1:14" x14ac:dyDescent="0.35">
      <c r="A628" s="1" t="s">
        <v>4321</v>
      </c>
      <c r="B628" s="3" t="s">
        <v>3183</v>
      </c>
      <c r="C628" s="1" t="s">
        <v>3297</v>
      </c>
      <c r="D628" s="1" t="s">
        <v>9570</v>
      </c>
      <c r="E628" s="1" t="str">
        <f>"2420"</f>
        <v>2420</v>
      </c>
      <c r="F628" s="1" t="str">
        <f>"013916071"</f>
        <v>013916071</v>
      </c>
      <c r="G628" s="1" t="s">
        <v>1975</v>
      </c>
      <c r="H628" s="1" t="s">
        <v>15</v>
      </c>
      <c r="I628" s="3" t="str">
        <f>"1"</f>
        <v>1</v>
      </c>
      <c r="J628" s="3" t="str">
        <f>"23945"</f>
        <v>23945</v>
      </c>
      <c r="K628" s="2">
        <v>45908</v>
      </c>
      <c r="L628" s="2">
        <v>45926</v>
      </c>
      <c r="M628" s="1" t="s">
        <v>9569</v>
      </c>
      <c r="N628" s="1" t="s">
        <v>9568</v>
      </c>
    </row>
    <row r="629" spans="1:14" x14ac:dyDescent="0.35">
      <c r="A629" s="1" t="s">
        <v>4321</v>
      </c>
      <c r="B629" s="3" t="s">
        <v>2248</v>
      </c>
      <c r="C629" s="1" t="s">
        <v>6129</v>
      </c>
      <c r="D629" s="1" t="s">
        <v>9567</v>
      </c>
      <c r="E629" s="1" t="str">
        <f>"3810"</f>
        <v>3810</v>
      </c>
      <c r="F629" s="1" t="s">
        <v>9210</v>
      </c>
      <c r="G629" s="1" t="s">
        <v>9209</v>
      </c>
      <c r="H629" s="1" t="s">
        <v>15</v>
      </c>
      <c r="I629" s="3" t="str">
        <f>"1"</f>
        <v>1</v>
      </c>
      <c r="J629" s="3">
        <v>42526.06</v>
      </c>
      <c r="K629" s="2">
        <v>45908</v>
      </c>
      <c r="L629" s="2">
        <v>45926</v>
      </c>
      <c r="M629" s="1" t="s">
        <v>9566</v>
      </c>
      <c r="N629" s="1" t="s">
        <v>9565</v>
      </c>
    </row>
    <row r="630" spans="1:14" x14ac:dyDescent="0.35">
      <c r="A630" s="1" t="s">
        <v>4321</v>
      </c>
      <c r="B630" s="3" t="s">
        <v>1857</v>
      </c>
      <c r="C630" s="1" t="s">
        <v>1869</v>
      </c>
      <c r="D630" s="1" t="s">
        <v>9564</v>
      </c>
      <c r="E630" s="1" t="str">
        <f>"2320"</f>
        <v>2320</v>
      </c>
      <c r="F630" s="1" t="str">
        <f>"012157631"</f>
        <v>012157631</v>
      </c>
      <c r="G630" s="1" t="s">
        <v>117</v>
      </c>
      <c r="H630" s="1" t="s">
        <v>15</v>
      </c>
      <c r="I630" s="3" t="str">
        <f>"1"</f>
        <v>1</v>
      </c>
      <c r="J630" s="3" t="str">
        <f>"33082"</f>
        <v>33082</v>
      </c>
      <c r="K630" s="2">
        <v>45893</v>
      </c>
      <c r="L630" s="2">
        <v>45926</v>
      </c>
      <c r="M630" s="1" t="s">
        <v>9563</v>
      </c>
      <c r="N630" s="1" t="s">
        <v>9562</v>
      </c>
    </row>
    <row r="631" spans="1:14" x14ac:dyDescent="0.35">
      <c r="A631" s="1" t="s">
        <v>4321</v>
      </c>
      <c r="B631" s="3" t="s">
        <v>2248</v>
      </c>
      <c r="C631" s="1" t="s">
        <v>2414</v>
      </c>
      <c r="D631" s="1" t="s">
        <v>9561</v>
      </c>
      <c r="E631" s="1" t="str">
        <f>"2360"</f>
        <v>2360</v>
      </c>
      <c r="F631" s="1" t="str">
        <f>"015259963"</f>
        <v>015259963</v>
      </c>
      <c r="G631" s="1" t="s">
        <v>2247</v>
      </c>
      <c r="H631" s="1" t="s">
        <v>15</v>
      </c>
      <c r="I631" s="3" t="str">
        <f>"1"</f>
        <v>1</v>
      </c>
      <c r="J631" s="3" t="str">
        <f>"60000"</f>
        <v>60000</v>
      </c>
      <c r="K631" s="2">
        <v>45883</v>
      </c>
      <c r="L631" s="2">
        <v>45926</v>
      </c>
      <c r="M631" s="1" t="s">
        <v>9560</v>
      </c>
      <c r="N631" s="1" t="s">
        <v>9559</v>
      </c>
    </row>
    <row r="632" spans="1:14" x14ac:dyDescent="0.35">
      <c r="A632" s="1" t="s">
        <v>4321</v>
      </c>
      <c r="B632" s="3" t="s">
        <v>1317</v>
      </c>
      <c r="C632" s="1" t="s">
        <v>1381</v>
      </c>
      <c r="D632" s="1" t="s">
        <v>9558</v>
      </c>
      <c r="E632" s="1" t="str">
        <f>"5965"</f>
        <v>5965</v>
      </c>
      <c r="F632" s="1" t="str">
        <f>"015727941"</f>
        <v>015727941</v>
      </c>
      <c r="G632" s="1" t="s">
        <v>22</v>
      </c>
      <c r="H632" s="1" t="s">
        <v>19</v>
      </c>
      <c r="I632" s="3" t="str">
        <f>"12"</f>
        <v>12</v>
      </c>
      <c r="J632" s="3">
        <v>1483.55</v>
      </c>
      <c r="K632" s="2">
        <v>45698</v>
      </c>
      <c r="L632" s="2">
        <v>45926</v>
      </c>
      <c r="M632" s="1" t="s">
        <v>9557</v>
      </c>
      <c r="N632" s="1" t="s">
        <v>4343</v>
      </c>
    </row>
    <row r="633" spans="1:14" x14ac:dyDescent="0.35">
      <c r="A633" s="1" t="s">
        <v>4321</v>
      </c>
      <c r="B633" s="3" t="s">
        <v>2145</v>
      </c>
      <c r="C633" s="1" t="s">
        <v>2220</v>
      </c>
      <c r="D633" s="1" t="s">
        <v>9556</v>
      </c>
      <c r="E633" s="1" t="str">
        <f>"5410"</f>
        <v>5410</v>
      </c>
      <c r="F633" s="1" t="str">
        <f>"013112895"</f>
        <v>013112895</v>
      </c>
      <c r="G633" s="1" t="s">
        <v>168</v>
      </c>
      <c r="H633" s="1" t="s">
        <v>15</v>
      </c>
      <c r="I633" s="3" t="str">
        <f>"2"</f>
        <v>2</v>
      </c>
      <c r="J633" s="3" t="str">
        <f>"21340"</f>
        <v>21340</v>
      </c>
      <c r="K633" s="2">
        <v>45923</v>
      </c>
      <c r="L633" s="2">
        <v>45925</v>
      </c>
      <c r="M633" s="1" t="s">
        <v>9549</v>
      </c>
      <c r="N633" s="1" t="s">
        <v>9555</v>
      </c>
    </row>
    <row r="634" spans="1:14" x14ac:dyDescent="0.35">
      <c r="A634" s="1" t="s">
        <v>4321</v>
      </c>
      <c r="B634" s="3" t="s">
        <v>2145</v>
      </c>
      <c r="C634" s="1" t="s">
        <v>2220</v>
      </c>
      <c r="D634" s="1" t="s">
        <v>9554</v>
      </c>
      <c r="E634" s="1" t="str">
        <f>"5410"</f>
        <v>5410</v>
      </c>
      <c r="F634" s="1" t="str">
        <f>"013112895"</f>
        <v>013112895</v>
      </c>
      <c r="G634" s="1" t="s">
        <v>168</v>
      </c>
      <c r="H634" s="1" t="s">
        <v>15</v>
      </c>
      <c r="I634" s="3" t="str">
        <f>"2"</f>
        <v>2</v>
      </c>
      <c r="J634" s="3" t="str">
        <f>"21340"</f>
        <v>21340</v>
      </c>
      <c r="K634" s="2">
        <v>45923</v>
      </c>
      <c r="L634" s="2">
        <v>45925</v>
      </c>
      <c r="M634" s="1" t="s">
        <v>9549</v>
      </c>
      <c r="N634" s="1" t="s">
        <v>9553</v>
      </c>
    </row>
    <row r="635" spans="1:14" x14ac:dyDescent="0.35">
      <c r="A635" s="1" t="s">
        <v>4321</v>
      </c>
      <c r="B635" s="3" t="s">
        <v>2145</v>
      </c>
      <c r="C635" s="1" t="s">
        <v>2220</v>
      </c>
      <c r="D635" s="1" t="s">
        <v>9552</v>
      </c>
      <c r="E635" s="1" t="str">
        <f>"5410"</f>
        <v>5410</v>
      </c>
      <c r="F635" s="1" t="str">
        <f>"013112895"</f>
        <v>013112895</v>
      </c>
      <c r="G635" s="1" t="s">
        <v>168</v>
      </c>
      <c r="H635" s="1" t="s">
        <v>15</v>
      </c>
      <c r="I635" s="3" t="str">
        <f>"2"</f>
        <v>2</v>
      </c>
      <c r="J635" s="3" t="str">
        <f>"21340"</f>
        <v>21340</v>
      </c>
      <c r="K635" s="2">
        <v>45923</v>
      </c>
      <c r="L635" s="2">
        <v>45925</v>
      </c>
      <c r="M635" s="1" t="s">
        <v>9549</v>
      </c>
      <c r="N635" s="1" t="s">
        <v>9551</v>
      </c>
    </row>
    <row r="636" spans="1:14" x14ac:dyDescent="0.35">
      <c r="A636" s="1" t="s">
        <v>4321</v>
      </c>
      <c r="B636" s="3" t="s">
        <v>2145</v>
      </c>
      <c r="C636" s="1" t="s">
        <v>2220</v>
      </c>
      <c r="D636" s="1" t="s">
        <v>9550</v>
      </c>
      <c r="E636" s="1" t="str">
        <f>"5410"</f>
        <v>5410</v>
      </c>
      <c r="F636" s="1" t="str">
        <f>"013112895"</f>
        <v>013112895</v>
      </c>
      <c r="G636" s="1" t="s">
        <v>168</v>
      </c>
      <c r="H636" s="1" t="s">
        <v>15</v>
      </c>
      <c r="I636" s="3" t="str">
        <f>"2"</f>
        <v>2</v>
      </c>
      <c r="J636" s="3" t="str">
        <f>"21340"</f>
        <v>21340</v>
      </c>
      <c r="K636" s="2">
        <v>45923</v>
      </c>
      <c r="L636" s="2">
        <v>45925</v>
      </c>
      <c r="M636" s="1" t="s">
        <v>9549</v>
      </c>
      <c r="N636" s="1" t="s">
        <v>9548</v>
      </c>
    </row>
    <row r="637" spans="1:14" x14ac:dyDescent="0.35">
      <c r="A637" s="1" t="s">
        <v>4321</v>
      </c>
      <c r="B637" s="3" t="s">
        <v>1848</v>
      </c>
      <c r="C637" s="1" t="s">
        <v>1849</v>
      </c>
      <c r="D637" s="1" t="s">
        <v>9547</v>
      </c>
      <c r="E637" s="1" t="str">
        <f>"7025"</f>
        <v>7025</v>
      </c>
      <c r="F637" s="1" t="s">
        <v>3286</v>
      </c>
      <c r="G637" s="1" t="s">
        <v>3287</v>
      </c>
      <c r="H637" s="1" t="s">
        <v>15</v>
      </c>
      <c r="I637" s="3" t="str">
        <f>"3"</f>
        <v>3</v>
      </c>
      <c r="J637" s="3" t="str">
        <f>"165"</f>
        <v>165</v>
      </c>
      <c r="K637" s="2">
        <v>45922</v>
      </c>
      <c r="L637" s="2">
        <v>45925</v>
      </c>
      <c r="M637" s="1" t="s">
        <v>9546</v>
      </c>
      <c r="N637" s="1" t="s">
        <v>9545</v>
      </c>
    </row>
    <row r="638" spans="1:14" x14ac:dyDescent="0.35">
      <c r="A638" s="1" t="s">
        <v>4321</v>
      </c>
      <c r="B638" s="3" t="s">
        <v>4087</v>
      </c>
      <c r="C638" s="1" t="s">
        <v>4143</v>
      </c>
      <c r="D638" s="1" t="s">
        <v>9544</v>
      </c>
      <c r="E638" s="1" t="str">
        <f>"7025"</f>
        <v>7025</v>
      </c>
      <c r="F638" s="1" t="s">
        <v>3286</v>
      </c>
      <c r="G638" s="1" t="s">
        <v>3287</v>
      </c>
      <c r="H638" s="1" t="s">
        <v>15</v>
      </c>
      <c r="I638" s="3" t="str">
        <f>"3"</f>
        <v>3</v>
      </c>
      <c r="J638" s="3" t="str">
        <f>"165"</f>
        <v>165</v>
      </c>
      <c r="K638" s="2">
        <v>45920</v>
      </c>
      <c r="L638" s="2">
        <v>45925</v>
      </c>
      <c r="M638" s="1" t="s">
        <v>9543</v>
      </c>
      <c r="N638" s="1" t="s">
        <v>9542</v>
      </c>
    </row>
    <row r="639" spans="1:14" x14ac:dyDescent="0.35">
      <c r="A639" s="1" t="s">
        <v>4321</v>
      </c>
      <c r="B639" s="3" t="s">
        <v>4087</v>
      </c>
      <c r="C639" s="1" t="s">
        <v>4121</v>
      </c>
      <c r="D639" s="1" t="s">
        <v>9541</v>
      </c>
      <c r="E639" s="1" t="str">
        <f>"6230"</f>
        <v>6230</v>
      </c>
      <c r="F639" s="1" t="str">
        <f>"015635725"</f>
        <v>015635725</v>
      </c>
      <c r="G639" s="1" t="s">
        <v>1527</v>
      </c>
      <c r="H639" s="1" t="s">
        <v>15</v>
      </c>
      <c r="I639" s="3" t="str">
        <f>"1"</f>
        <v>1</v>
      </c>
      <c r="J639" s="3">
        <v>27986.240000000002</v>
      </c>
      <c r="K639" s="2">
        <v>45919</v>
      </c>
      <c r="L639" s="2">
        <v>45925</v>
      </c>
      <c r="M639" s="1" t="s">
        <v>9540</v>
      </c>
      <c r="N639" s="1" t="s">
        <v>9539</v>
      </c>
    </row>
    <row r="640" spans="1:14" x14ac:dyDescent="0.35">
      <c r="A640" s="1" t="s">
        <v>4321</v>
      </c>
      <c r="B640" s="3" t="s">
        <v>2145</v>
      </c>
      <c r="C640" s="1" t="s">
        <v>2237</v>
      </c>
      <c r="D640" s="1" t="s">
        <v>9538</v>
      </c>
      <c r="E640" s="1" t="str">
        <f>"7025"</f>
        <v>7025</v>
      </c>
      <c r="F640" s="1" t="s">
        <v>3480</v>
      </c>
      <c r="G640" s="1" t="s">
        <v>3481</v>
      </c>
      <c r="H640" s="1" t="s">
        <v>15</v>
      </c>
      <c r="I640" s="3" t="str">
        <f>"1"</f>
        <v>1</v>
      </c>
      <c r="J640" s="3" t="str">
        <f>"3250"</f>
        <v>3250</v>
      </c>
      <c r="K640" s="2">
        <v>45918</v>
      </c>
      <c r="L640" s="2">
        <v>45925</v>
      </c>
      <c r="M640" s="1" t="s">
        <v>9537</v>
      </c>
      <c r="N640" s="1" t="s">
        <v>9536</v>
      </c>
    </row>
    <row r="641" spans="1:14" x14ac:dyDescent="0.35">
      <c r="A641" s="1" t="s">
        <v>4321</v>
      </c>
      <c r="B641" s="3" t="s">
        <v>1848</v>
      </c>
      <c r="C641" s="1" t="s">
        <v>1849</v>
      </c>
      <c r="D641" s="1" t="s">
        <v>9535</v>
      </c>
      <c r="E641" s="1" t="str">
        <f>"6230"</f>
        <v>6230</v>
      </c>
      <c r="F641" s="1" t="str">
        <f>"015635725"</f>
        <v>015635725</v>
      </c>
      <c r="G641" s="1" t="s">
        <v>1527</v>
      </c>
      <c r="H641" s="1" t="s">
        <v>15</v>
      </c>
      <c r="I641" s="3" t="str">
        <f>"1"</f>
        <v>1</v>
      </c>
      <c r="J641" s="3">
        <v>27986.240000000002</v>
      </c>
      <c r="K641" s="2">
        <v>45917</v>
      </c>
      <c r="L641" s="2">
        <v>45925</v>
      </c>
      <c r="M641" s="1" t="s">
        <v>9534</v>
      </c>
      <c r="N641" s="1" t="s">
        <v>9533</v>
      </c>
    </row>
    <row r="642" spans="1:14" x14ac:dyDescent="0.35">
      <c r="A642" s="1" t="s">
        <v>4321</v>
      </c>
      <c r="B642" s="3" t="s">
        <v>2720</v>
      </c>
      <c r="C642" s="1" t="s">
        <v>2842</v>
      </c>
      <c r="D642" s="1" t="s">
        <v>9532</v>
      </c>
      <c r="E642" s="1" t="str">
        <f>"4220"</f>
        <v>4220</v>
      </c>
      <c r="F642" s="1" t="s">
        <v>4066</v>
      </c>
      <c r="G642" s="1" t="s">
        <v>4067</v>
      </c>
      <c r="H642" s="1" t="s">
        <v>15</v>
      </c>
      <c r="I642" s="3" t="str">
        <f>"1"</f>
        <v>1</v>
      </c>
      <c r="J642" s="3">
        <v>3461.99</v>
      </c>
      <c r="K642" s="2">
        <v>45917</v>
      </c>
      <c r="L642" s="2">
        <v>45925</v>
      </c>
      <c r="M642" s="1" t="s">
        <v>9531</v>
      </c>
      <c r="N642" s="1" t="s">
        <v>9530</v>
      </c>
    </row>
    <row r="643" spans="1:14" x14ac:dyDescent="0.35">
      <c r="A643" s="1" t="s">
        <v>4321</v>
      </c>
      <c r="B643" s="3" t="s">
        <v>93</v>
      </c>
      <c r="C643" s="1" t="s">
        <v>137</v>
      </c>
      <c r="D643" s="1" t="s">
        <v>9529</v>
      </c>
      <c r="E643" s="1" t="str">
        <f>"5410"</f>
        <v>5410</v>
      </c>
      <c r="F643" s="1" t="str">
        <f>"013112895"</f>
        <v>013112895</v>
      </c>
      <c r="G643" s="1" t="s">
        <v>168</v>
      </c>
      <c r="H643" s="1" t="s">
        <v>15</v>
      </c>
      <c r="I643" s="3" t="str">
        <f>"2"</f>
        <v>2</v>
      </c>
      <c r="J643" s="3" t="str">
        <f>"21340"</f>
        <v>21340</v>
      </c>
      <c r="K643" s="2">
        <v>45914</v>
      </c>
      <c r="L643" s="2">
        <v>45925</v>
      </c>
      <c r="M643" s="1" t="s">
        <v>9528</v>
      </c>
      <c r="N643" s="1" t="s">
        <v>9527</v>
      </c>
    </row>
    <row r="644" spans="1:14" x14ac:dyDescent="0.35">
      <c r="A644" s="1" t="s">
        <v>4321</v>
      </c>
      <c r="B644" s="3" t="s">
        <v>4253</v>
      </c>
      <c r="C644" s="1" t="s">
        <v>4268</v>
      </c>
      <c r="D644" s="1" t="s">
        <v>9526</v>
      </c>
      <c r="E644" s="1" t="str">
        <f>"2310"</f>
        <v>2310</v>
      </c>
      <c r="F644" s="1" t="s">
        <v>413</v>
      </c>
      <c r="G644" s="1" t="s">
        <v>414</v>
      </c>
      <c r="H644" s="1" t="s">
        <v>15</v>
      </c>
      <c r="I644" s="3" t="str">
        <f>"1"</f>
        <v>1</v>
      </c>
      <c r="J644" s="3" t="str">
        <f>"81622"</f>
        <v>81622</v>
      </c>
      <c r="K644" s="2">
        <v>45913</v>
      </c>
      <c r="L644" s="2">
        <v>45925</v>
      </c>
      <c r="M644" s="1" t="s">
        <v>9525</v>
      </c>
      <c r="N644" s="1" t="s">
        <v>9524</v>
      </c>
    </row>
    <row r="645" spans="1:14" x14ac:dyDescent="0.35">
      <c r="A645" s="1" t="s">
        <v>4321</v>
      </c>
      <c r="B645" s="3" t="s">
        <v>1848</v>
      </c>
      <c r="C645" s="1" t="s">
        <v>1849</v>
      </c>
      <c r="D645" s="1" t="s">
        <v>9523</v>
      </c>
      <c r="E645" s="1" t="str">
        <f>"2310"</f>
        <v>2310</v>
      </c>
      <c r="F645" s="1" t="s">
        <v>413</v>
      </c>
      <c r="G645" s="1" t="s">
        <v>414</v>
      </c>
      <c r="H645" s="1" t="s">
        <v>15</v>
      </c>
      <c r="I645" s="3" t="str">
        <f>"1"</f>
        <v>1</v>
      </c>
      <c r="J645" s="3" t="str">
        <f>"81622"</f>
        <v>81622</v>
      </c>
      <c r="K645" s="2">
        <v>45913</v>
      </c>
      <c r="L645" s="2">
        <v>45925</v>
      </c>
      <c r="M645" s="1" t="s">
        <v>9522</v>
      </c>
      <c r="N645" s="1" t="s">
        <v>9521</v>
      </c>
    </row>
    <row r="646" spans="1:14" x14ac:dyDescent="0.35">
      <c r="A646" s="1" t="s">
        <v>4321</v>
      </c>
      <c r="B646" s="3" t="s">
        <v>2720</v>
      </c>
      <c r="C646" s="1" t="s">
        <v>2828</v>
      </c>
      <c r="D646" s="1" t="s">
        <v>9520</v>
      </c>
      <c r="E646" s="1" t="str">
        <f>"6230"</f>
        <v>6230</v>
      </c>
      <c r="F646" s="1" t="str">
        <f>"015888427"</f>
        <v>015888427</v>
      </c>
      <c r="G646" s="1" t="s">
        <v>310</v>
      </c>
      <c r="H646" s="1" t="s">
        <v>15</v>
      </c>
      <c r="I646" s="3" t="str">
        <f>"3"</f>
        <v>3</v>
      </c>
      <c r="J646" s="3">
        <v>574.34</v>
      </c>
      <c r="K646" s="2">
        <v>45913</v>
      </c>
      <c r="L646" s="2">
        <v>45925</v>
      </c>
      <c r="M646" s="1" t="s">
        <v>9519</v>
      </c>
      <c r="N646" s="1" t="s">
        <v>9518</v>
      </c>
    </row>
    <row r="647" spans="1:14" x14ac:dyDescent="0.35">
      <c r="A647" s="1" t="s">
        <v>4321</v>
      </c>
      <c r="B647" s="3" t="s">
        <v>3513</v>
      </c>
      <c r="C647" s="1" t="s">
        <v>3793</v>
      </c>
      <c r="D647" s="1" t="s">
        <v>9517</v>
      </c>
      <c r="E647" s="1" t="str">
        <f>"3930"</f>
        <v>3930</v>
      </c>
      <c r="F647" s="1" t="s">
        <v>150</v>
      </c>
      <c r="G647" s="1" t="s">
        <v>151</v>
      </c>
      <c r="H647" s="1" t="s">
        <v>15</v>
      </c>
      <c r="I647" s="3" t="str">
        <f>"1"</f>
        <v>1</v>
      </c>
      <c r="J647" s="3" t="str">
        <f>"5000"</f>
        <v>5000</v>
      </c>
      <c r="K647" s="2">
        <v>45906</v>
      </c>
      <c r="L647" s="2">
        <v>45925</v>
      </c>
      <c r="M647" s="1" t="s">
        <v>9516</v>
      </c>
      <c r="N647" s="1" t="s">
        <v>9515</v>
      </c>
    </row>
    <row r="648" spans="1:14" x14ac:dyDescent="0.35">
      <c r="A648" s="1" t="s">
        <v>4321</v>
      </c>
      <c r="B648" s="3" t="s">
        <v>4087</v>
      </c>
      <c r="C648" s="1" t="s">
        <v>9509</v>
      </c>
      <c r="D648" s="1" t="s">
        <v>9514</v>
      </c>
      <c r="E648" s="1" t="str">
        <f>"3920"</f>
        <v>3920</v>
      </c>
      <c r="F648" s="1" t="s">
        <v>9513</v>
      </c>
      <c r="G648" s="1" t="s">
        <v>9512</v>
      </c>
      <c r="H648" s="1" t="s">
        <v>15</v>
      </c>
      <c r="I648" s="3" t="str">
        <f>"1"</f>
        <v>1</v>
      </c>
      <c r="J648" s="3" t="str">
        <f>"2500"</f>
        <v>2500</v>
      </c>
      <c r="K648" s="2">
        <v>45904</v>
      </c>
      <c r="L648" s="2">
        <v>45925</v>
      </c>
      <c r="M648" s="1" t="s">
        <v>9511</v>
      </c>
      <c r="N648" s="1" t="s">
        <v>9510</v>
      </c>
    </row>
    <row r="649" spans="1:14" x14ac:dyDescent="0.35">
      <c r="A649" s="1" t="s">
        <v>4321</v>
      </c>
      <c r="B649" s="3" t="s">
        <v>4087</v>
      </c>
      <c r="C649" s="1" t="s">
        <v>9509</v>
      </c>
      <c r="D649" s="1" t="s">
        <v>9508</v>
      </c>
      <c r="E649" s="1" t="str">
        <f>"4110"</f>
        <v>4110</v>
      </c>
      <c r="F649" s="1" t="str">
        <f>"015060895"</f>
        <v>015060895</v>
      </c>
      <c r="G649" s="1" t="s">
        <v>9507</v>
      </c>
      <c r="H649" s="1" t="s">
        <v>15</v>
      </c>
      <c r="I649" s="3" t="str">
        <f>"1"</f>
        <v>1</v>
      </c>
      <c r="J649" s="3" t="str">
        <f>"6540"</f>
        <v>6540</v>
      </c>
      <c r="K649" s="2">
        <v>45904</v>
      </c>
      <c r="L649" s="2">
        <v>45925</v>
      </c>
      <c r="M649" s="1" t="s">
        <v>9506</v>
      </c>
      <c r="N649" s="1" t="s">
        <v>9505</v>
      </c>
    </row>
    <row r="650" spans="1:14" x14ac:dyDescent="0.35">
      <c r="A650" s="1" t="s">
        <v>4321</v>
      </c>
      <c r="B650" s="3" t="s">
        <v>2987</v>
      </c>
      <c r="C650" s="1" t="s">
        <v>3058</v>
      </c>
      <c r="D650" s="1" t="s">
        <v>9504</v>
      </c>
      <c r="E650" s="1" t="str">
        <f>"4250"</f>
        <v>4250</v>
      </c>
      <c r="F650" s="1" t="str">
        <f>"013818078"</f>
        <v>013818078</v>
      </c>
      <c r="G650" s="1" t="s">
        <v>9503</v>
      </c>
      <c r="H650" s="1" t="s">
        <v>15</v>
      </c>
      <c r="I650" s="3" t="str">
        <f>"1"</f>
        <v>1</v>
      </c>
      <c r="J650" s="3">
        <v>5154.18</v>
      </c>
      <c r="K650" s="2">
        <v>45904</v>
      </c>
      <c r="L650" s="2">
        <v>45925</v>
      </c>
      <c r="M650" s="1" t="s">
        <v>9502</v>
      </c>
      <c r="N650" s="1" t="s">
        <v>9501</v>
      </c>
    </row>
    <row r="651" spans="1:14" x14ac:dyDescent="0.35">
      <c r="A651" s="1" t="s">
        <v>4321</v>
      </c>
      <c r="B651" s="3" t="s">
        <v>2000</v>
      </c>
      <c r="C651" s="1" t="s">
        <v>2078</v>
      </c>
      <c r="D651" s="1" t="s">
        <v>9500</v>
      </c>
      <c r="E651" s="1" t="str">
        <f>"4240"</f>
        <v>4240</v>
      </c>
      <c r="F651" s="1" t="str">
        <f>"012488551"</f>
        <v>012488551</v>
      </c>
      <c r="G651" s="1" t="s">
        <v>8569</v>
      </c>
      <c r="H651" s="1" t="s">
        <v>15</v>
      </c>
      <c r="I651" s="3" t="str">
        <f>"1"</f>
        <v>1</v>
      </c>
      <c r="J651" s="3" t="str">
        <f>"13493"</f>
        <v>13493</v>
      </c>
      <c r="K651" s="2">
        <v>45901</v>
      </c>
      <c r="L651" s="2">
        <v>45925</v>
      </c>
      <c r="M651" s="1" t="s">
        <v>9499</v>
      </c>
      <c r="N651" s="1" t="s">
        <v>9498</v>
      </c>
    </row>
    <row r="652" spans="1:14" x14ac:dyDescent="0.35">
      <c r="A652" s="1" t="s">
        <v>4321</v>
      </c>
      <c r="B652" s="3" t="s">
        <v>4087</v>
      </c>
      <c r="C652" s="1" t="s">
        <v>4093</v>
      </c>
      <c r="D652" s="1" t="s">
        <v>9497</v>
      </c>
      <c r="E652" s="1" t="str">
        <f>"2330"</f>
        <v>2330</v>
      </c>
      <c r="F652" s="1" t="s">
        <v>70</v>
      </c>
      <c r="G652" s="1" t="s">
        <v>71</v>
      </c>
      <c r="H652" s="1" t="s">
        <v>15</v>
      </c>
      <c r="I652" s="3" t="str">
        <f>"1"</f>
        <v>1</v>
      </c>
      <c r="J652" s="3" t="str">
        <f>"2360"</f>
        <v>2360</v>
      </c>
      <c r="K652" s="2">
        <v>45890</v>
      </c>
      <c r="L652" s="2">
        <v>45925</v>
      </c>
      <c r="M652" s="1" t="s">
        <v>9496</v>
      </c>
      <c r="N652" s="1" t="s">
        <v>9495</v>
      </c>
    </row>
    <row r="653" spans="1:14" x14ac:dyDescent="0.35">
      <c r="A653" s="1" t="s">
        <v>4321</v>
      </c>
      <c r="B653" s="3" t="s">
        <v>4087</v>
      </c>
      <c r="C653" s="1" t="s">
        <v>4093</v>
      </c>
      <c r="D653" s="1" t="s">
        <v>9494</v>
      </c>
      <c r="E653" s="1" t="str">
        <f>"3920"</f>
        <v>3920</v>
      </c>
      <c r="F653" s="1" t="s">
        <v>486</v>
      </c>
      <c r="G653" s="1" t="s">
        <v>487</v>
      </c>
      <c r="H653" s="1" t="s">
        <v>15</v>
      </c>
      <c r="I653" s="3" t="str">
        <f>"1"</f>
        <v>1</v>
      </c>
      <c r="J653" s="3" t="str">
        <f>"10"</f>
        <v>10</v>
      </c>
      <c r="K653" s="2">
        <v>45890</v>
      </c>
      <c r="L653" s="2">
        <v>45925</v>
      </c>
      <c r="M653" s="1" t="s">
        <v>9493</v>
      </c>
      <c r="N653" s="1" t="s">
        <v>9492</v>
      </c>
    </row>
    <row r="654" spans="1:14" x14ac:dyDescent="0.35">
      <c r="A654" s="1" t="s">
        <v>4321</v>
      </c>
      <c r="B654" s="3" t="s">
        <v>601</v>
      </c>
      <c r="C654" s="1" t="s">
        <v>602</v>
      </c>
      <c r="D654" s="1" t="s">
        <v>9491</v>
      </c>
      <c r="E654" s="1" t="str">
        <f>"2320"</f>
        <v>2320</v>
      </c>
      <c r="F654" s="1" t="str">
        <f>"013477645"</f>
        <v>013477645</v>
      </c>
      <c r="G654" s="1" t="s">
        <v>5445</v>
      </c>
      <c r="H654" s="1" t="s">
        <v>15</v>
      </c>
      <c r="I654" s="3" t="str">
        <f>"1"</f>
        <v>1</v>
      </c>
      <c r="J654" s="3" t="str">
        <f>"350000"</f>
        <v>350000</v>
      </c>
      <c r="K654" s="2">
        <v>45867</v>
      </c>
      <c r="L654" s="2">
        <v>45925</v>
      </c>
      <c r="M654" s="1" t="s">
        <v>9490</v>
      </c>
      <c r="N654" s="1" t="s">
        <v>9489</v>
      </c>
    </row>
    <row r="655" spans="1:14" x14ac:dyDescent="0.35">
      <c r="A655" s="1" t="s">
        <v>4321</v>
      </c>
      <c r="B655" s="3" t="s">
        <v>2248</v>
      </c>
      <c r="C655" s="1" t="s">
        <v>2332</v>
      </c>
      <c r="D655" s="1" t="s">
        <v>9488</v>
      </c>
      <c r="E655" s="1" t="str">
        <f>"2310"</f>
        <v>2310</v>
      </c>
      <c r="F655" s="1" t="str">
        <f>"016231545"</f>
        <v>016231545</v>
      </c>
      <c r="G655" s="1" t="s">
        <v>3156</v>
      </c>
      <c r="H655" s="1" t="s">
        <v>15</v>
      </c>
      <c r="I655" s="3" t="str">
        <f>"1"</f>
        <v>1</v>
      </c>
      <c r="J655" s="3" t="str">
        <f>"32000"</f>
        <v>32000</v>
      </c>
      <c r="K655" s="2">
        <v>45864</v>
      </c>
      <c r="L655" s="2">
        <v>45925</v>
      </c>
      <c r="M655" s="1" t="s">
        <v>9487</v>
      </c>
      <c r="N655" s="1" t="s">
        <v>9486</v>
      </c>
    </row>
    <row r="656" spans="1:14" x14ac:dyDescent="0.35">
      <c r="A656" s="1" t="s">
        <v>4321</v>
      </c>
      <c r="B656" s="3" t="s">
        <v>2638</v>
      </c>
      <c r="C656" s="1" t="s">
        <v>2654</v>
      </c>
      <c r="D656" s="1" t="s">
        <v>9485</v>
      </c>
      <c r="E656" s="1" t="str">
        <f>"5855"</f>
        <v>5855</v>
      </c>
      <c r="F656" s="1" t="str">
        <f>"014854223"</f>
        <v>014854223</v>
      </c>
      <c r="G656" s="1" t="s">
        <v>1931</v>
      </c>
      <c r="H656" s="1" t="s">
        <v>15</v>
      </c>
      <c r="I656" s="3" t="str">
        <f>"2"</f>
        <v>2</v>
      </c>
      <c r="J656" s="3">
        <v>1436.42</v>
      </c>
      <c r="K656" s="2">
        <v>45852</v>
      </c>
      <c r="L656" s="2">
        <v>45925</v>
      </c>
      <c r="M656" s="1" t="s">
        <v>9484</v>
      </c>
      <c r="N656" s="1" t="s">
        <v>9483</v>
      </c>
    </row>
    <row r="657" spans="1:14" x14ac:dyDescent="0.35">
      <c r="A657" s="1" t="s">
        <v>4321</v>
      </c>
      <c r="B657" s="3" t="s">
        <v>2244</v>
      </c>
      <c r="C657" s="1" t="s">
        <v>2245</v>
      </c>
      <c r="D657" s="1" t="s">
        <v>9482</v>
      </c>
      <c r="E657" s="1" t="str">
        <f>"1385"</f>
        <v>1385</v>
      </c>
      <c r="F657" s="1" t="str">
        <f>"015917915"</f>
        <v>015917915</v>
      </c>
      <c r="G657" s="1" t="s">
        <v>9481</v>
      </c>
      <c r="H657" s="1" t="s">
        <v>15</v>
      </c>
      <c r="I657" s="3" t="str">
        <f>"1"</f>
        <v>1</v>
      </c>
      <c r="J657" s="3" t="str">
        <f>"231603"</f>
        <v>231603</v>
      </c>
      <c r="K657" s="2">
        <v>45832</v>
      </c>
      <c r="L657" s="2">
        <v>45925</v>
      </c>
      <c r="M657" s="1" t="s">
        <v>9480</v>
      </c>
      <c r="N657" s="1" t="s">
        <v>9479</v>
      </c>
    </row>
    <row r="658" spans="1:14" x14ac:dyDescent="0.35">
      <c r="A658" s="1" t="s">
        <v>4321</v>
      </c>
      <c r="B658" s="3" t="s">
        <v>3885</v>
      </c>
      <c r="C658" s="1" t="s">
        <v>3895</v>
      </c>
      <c r="D658" s="1" t="s">
        <v>9478</v>
      </c>
      <c r="E658" s="1" t="str">
        <f>"3805"</f>
        <v>3805</v>
      </c>
      <c r="F658" s="1" t="s">
        <v>2913</v>
      </c>
      <c r="G658" s="1" t="s">
        <v>2914</v>
      </c>
      <c r="H658" s="1" t="s">
        <v>15</v>
      </c>
      <c r="I658" s="3" t="str">
        <f>"1"</f>
        <v>1</v>
      </c>
      <c r="J658" s="3" t="str">
        <f>"8222"</f>
        <v>8222</v>
      </c>
      <c r="K658" s="2">
        <v>45816</v>
      </c>
      <c r="L658" s="2">
        <v>45925</v>
      </c>
      <c r="M658" s="1" t="s">
        <v>3897</v>
      </c>
      <c r="N658" s="1" t="s">
        <v>9477</v>
      </c>
    </row>
    <row r="659" spans="1:14" x14ac:dyDescent="0.35">
      <c r="A659" s="1" t="s">
        <v>4321</v>
      </c>
      <c r="B659" s="3" t="s">
        <v>3183</v>
      </c>
      <c r="C659" s="1" t="s">
        <v>3184</v>
      </c>
      <c r="D659" s="1" t="s">
        <v>9476</v>
      </c>
      <c r="E659" s="1" t="str">
        <f>"2310"</f>
        <v>2310</v>
      </c>
      <c r="F659" s="1" t="s">
        <v>2222</v>
      </c>
      <c r="G659" s="1" t="s">
        <v>2223</v>
      </c>
      <c r="H659" s="1" t="s">
        <v>15</v>
      </c>
      <c r="I659" s="3" t="str">
        <f>"1"</f>
        <v>1</v>
      </c>
      <c r="J659" s="3" t="str">
        <f>"19905"</f>
        <v>19905</v>
      </c>
      <c r="K659" s="2">
        <v>45808</v>
      </c>
      <c r="L659" s="2">
        <v>45925</v>
      </c>
      <c r="M659" s="1" t="s">
        <v>9475</v>
      </c>
      <c r="N659" s="1" t="s">
        <v>9474</v>
      </c>
    </row>
    <row r="660" spans="1:14" x14ac:dyDescent="0.35">
      <c r="A660" s="1" t="s">
        <v>4321</v>
      </c>
      <c r="B660" s="3" t="s">
        <v>3885</v>
      </c>
      <c r="C660" s="1" t="s">
        <v>3891</v>
      </c>
      <c r="D660" s="1" t="s">
        <v>9473</v>
      </c>
      <c r="E660" s="1" t="str">
        <f>"1550"</f>
        <v>1550</v>
      </c>
      <c r="F660" s="1" t="s">
        <v>7292</v>
      </c>
      <c r="G660" s="1" t="s">
        <v>7291</v>
      </c>
      <c r="H660" s="1" t="s">
        <v>15</v>
      </c>
      <c r="I660" s="3" t="str">
        <f>"1"</f>
        <v>1</v>
      </c>
      <c r="J660" s="3" t="str">
        <f>"44996"</f>
        <v>44996</v>
      </c>
      <c r="K660" s="2">
        <v>45923</v>
      </c>
      <c r="L660" s="2">
        <v>45924</v>
      </c>
      <c r="M660" s="1" t="s">
        <v>9472</v>
      </c>
      <c r="N660" s="1" t="s">
        <v>4343</v>
      </c>
    </row>
    <row r="661" spans="1:14" x14ac:dyDescent="0.35">
      <c r="A661" s="1" t="s">
        <v>4321</v>
      </c>
      <c r="B661" s="3" t="s">
        <v>2494</v>
      </c>
      <c r="C661" s="1" t="s">
        <v>2521</v>
      </c>
      <c r="D661" s="1" t="s">
        <v>9471</v>
      </c>
      <c r="E661" s="1" t="str">
        <f>"5130"</f>
        <v>5130</v>
      </c>
      <c r="F661" s="1" t="s">
        <v>354</v>
      </c>
      <c r="G661" s="1" t="s">
        <v>355</v>
      </c>
      <c r="H661" s="1" t="s">
        <v>15</v>
      </c>
      <c r="I661" s="3" t="str">
        <f>"1"</f>
        <v>1</v>
      </c>
      <c r="J661" s="3">
        <v>515.65</v>
      </c>
      <c r="K661" s="2">
        <v>45923</v>
      </c>
      <c r="L661" s="2">
        <v>45924</v>
      </c>
      <c r="M661" s="1" t="s">
        <v>9470</v>
      </c>
      <c r="N661" s="1" t="s">
        <v>4343</v>
      </c>
    </row>
    <row r="662" spans="1:14" x14ac:dyDescent="0.35">
      <c r="A662" s="1" t="s">
        <v>4321</v>
      </c>
      <c r="B662" s="3" t="s">
        <v>2494</v>
      </c>
      <c r="C662" s="1" t="s">
        <v>9469</v>
      </c>
      <c r="D662" s="1" t="s">
        <v>9468</v>
      </c>
      <c r="E662" s="1" t="str">
        <f>"1550"</f>
        <v>1550</v>
      </c>
      <c r="F662" s="1" t="s">
        <v>7292</v>
      </c>
      <c r="G662" s="1" t="s">
        <v>7291</v>
      </c>
      <c r="H662" s="1" t="s">
        <v>15</v>
      </c>
      <c r="I662" s="3" t="str">
        <f>"1"</f>
        <v>1</v>
      </c>
      <c r="J662" s="3" t="str">
        <f>"44996"</f>
        <v>44996</v>
      </c>
      <c r="K662" s="2">
        <v>45923</v>
      </c>
      <c r="L662" s="2">
        <v>45924</v>
      </c>
      <c r="M662" s="1" t="s">
        <v>9467</v>
      </c>
      <c r="N662" s="1" t="s">
        <v>4343</v>
      </c>
    </row>
    <row r="663" spans="1:14" x14ac:dyDescent="0.35">
      <c r="A663" s="1" t="s">
        <v>4321</v>
      </c>
      <c r="B663" s="3" t="s">
        <v>3105</v>
      </c>
      <c r="C663" s="1" t="s">
        <v>3141</v>
      </c>
      <c r="D663" s="1" t="s">
        <v>9466</v>
      </c>
      <c r="E663" s="1" t="str">
        <f>"8145"</f>
        <v>8145</v>
      </c>
      <c r="F663" s="1" t="s">
        <v>2742</v>
      </c>
      <c r="G663" s="1" t="s">
        <v>2743</v>
      </c>
      <c r="H663" s="1" t="s">
        <v>15</v>
      </c>
      <c r="I663" s="3" t="str">
        <f>"1"</f>
        <v>1</v>
      </c>
      <c r="J663" s="3" t="str">
        <f>"150"</f>
        <v>150</v>
      </c>
      <c r="K663" s="2">
        <v>45923</v>
      </c>
      <c r="L663" s="2">
        <v>45924</v>
      </c>
      <c r="M663" s="1" t="s">
        <v>9465</v>
      </c>
      <c r="N663" s="1" t="s">
        <v>4343</v>
      </c>
    </row>
    <row r="664" spans="1:14" x14ac:dyDescent="0.35">
      <c r="A664" s="1" t="s">
        <v>4321</v>
      </c>
      <c r="B664" s="3" t="s">
        <v>2987</v>
      </c>
      <c r="C664" s="1" t="s">
        <v>9464</v>
      </c>
      <c r="D664" s="1" t="s">
        <v>9463</v>
      </c>
      <c r="E664" s="1" t="str">
        <f>"1550"</f>
        <v>1550</v>
      </c>
      <c r="F664" s="1" t="s">
        <v>7292</v>
      </c>
      <c r="G664" s="1" t="s">
        <v>7291</v>
      </c>
      <c r="H664" s="1" t="s">
        <v>15</v>
      </c>
      <c r="I664" s="3" t="str">
        <f>"1"</f>
        <v>1</v>
      </c>
      <c r="J664" s="3" t="str">
        <f>"44996"</f>
        <v>44996</v>
      </c>
      <c r="K664" s="2">
        <v>45922</v>
      </c>
      <c r="L664" s="2">
        <v>45924</v>
      </c>
      <c r="M664" s="1" t="s">
        <v>9462</v>
      </c>
      <c r="N664" s="1" t="s">
        <v>9461</v>
      </c>
    </row>
    <row r="665" spans="1:14" x14ac:dyDescent="0.35">
      <c r="A665" s="1" t="s">
        <v>4321</v>
      </c>
      <c r="B665" s="3" t="s">
        <v>806</v>
      </c>
      <c r="C665" s="1" t="s">
        <v>859</v>
      </c>
      <c r="D665" s="1" t="s">
        <v>9460</v>
      </c>
      <c r="E665" s="1" t="str">
        <f>"5140"</f>
        <v>5140</v>
      </c>
      <c r="F665" s="1" t="s">
        <v>9145</v>
      </c>
      <c r="G665" s="1" t="s">
        <v>9144</v>
      </c>
      <c r="H665" s="1" t="s">
        <v>15</v>
      </c>
      <c r="I665" s="3" t="str">
        <f>"1"</f>
        <v>1</v>
      </c>
      <c r="J665" s="3">
        <v>5245.03</v>
      </c>
      <c r="K665" s="2">
        <v>45922</v>
      </c>
      <c r="L665" s="2">
        <v>45924</v>
      </c>
      <c r="M665" s="1" t="s">
        <v>9459</v>
      </c>
      <c r="N665" s="1" t="s">
        <v>9458</v>
      </c>
    </row>
    <row r="666" spans="1:14" x14ac:dyDescent="0.35">
      <c r="A666" s="1" t="s">
        <v>4321</v>
      </c>
      <c r="B666" s="3" t="s">
        <v>806</v>
      </c>
      <c r="C666" s="1" t="s">
        <v>859</v>
      </c>
      <c r="D666" s="1" t="s">
        <v>9457</v>
      </c>
      <c r="E666" s="1" t="str">
        <f>"5140"</f>
        <v>5140</v>
      </c>
      <c r="F666" s="1" t="s">
        <v>9145</v>
      </c>
      <c r="G666" s="1" t="s">
        <v>9144</v>
      </c>
      <c r="H666" s="1" t="s">
        <v>15</v>
      </c>
      <c r="I666" s="3" t="str">
        <f>"2"</f>
        <v>2</v>
      </c>
      <c r="J666" s="3">
        <v>709.8</v>
      </c>
      <c r="K666" s="2">
        <v>45922</v>
      </c>
      <c r="L666" s="2">
        <v>45924</v>
      </c>
      <c r="M666" s="1" t="s">
        <v>9456</v>
      </c>
      <c r="N666" s="1" t="s">
        <v>9455</v>
      </c>
    </row>
    <row r="667" spans="1:14" x14ac:dyDescent="0.35">
      <c r="A667" s="1" t="s">
        <v>4321</v>
      </c>
      <c r="B667" s="3" t="s">
        <v>2720</v>
      </c>
      <c r="C667" s="1" t="s">
        <v>2770</v>
      </c>
      <c r="D667" s="1" t="s">
        <v>9454</v>
      </c>
      <c r="E667" s="1" t="str">
        <f>"6650"</f>
        <v>6650</v>
      </c>
      <c r="F667" s="1" t="s">
        <v>3823</v>
      </c>
      <c r="G667" s="1" t="s">
        <v>3824</v>
      </c>
      <c r="H667" s="1" t="s">
        <v>15</v>
      </c>
      <c r="I667" s="3" t="str">
        <f>"5"</f>
        <v>5</v>
      </c>
      <c r="J667" s="3">
        <v>208.47</v>
      </c>
      <c r="K667" s="2">
        <v>45922</v>
      </c>
      <c r="L667" s="2">
        <v>45924</v>
      </c>
      <c r="M667" s="1" t="s">
        <v>9453</v>
      </c>
      <c r="N667" s="1" t="s">
        <v>9452</v>
      </c>
    </row>
    <row r="668" spans="1:14" x14ac:dyDescent="0.35">
      <c r="A668" s="1" t="s">
        <v>4321</v>
      </c>
      <c r="B668" s="3" t="s">
        <v>2244</v>
      </c>
      <c r="C668" s="1" t="s">
        <v>9378</v>
      </c>
      <c r="D668" s="1" t="s">
        <v>9451</v>
      </c>
      <c r="E668" s="1" t="str">
        <f>"1550"</f>
        <v>1550</v>
      </c>
      <c r="F668" s="1" t="str">
        <f>"015373804"</f>
        <v>015373804</v>
      </c>
      <c r="G668" s="1" t="s">
        <v>9450</v>
      </c>
      <c r="H668" s="1" t="s">
        <v>15</v>
      </c>
      <c r="I668" s="3" t="str">
        <f>"2"</f>
        <v>2</v>
      </c>
      <c r="J668" s="3">
        <v>27689.48</v>
      </c>
      <c r="K668" s="2">
        <v>45922</v>
      </c>
      <c r="L668" s="2">
        <v>45924</v>
      </c>
      <c r="M668" s="1" t="s">
        <v>9449</v>
      </c>
      <c r="N668" s="1" t="s">
        <v>9448</v>
      </c>
    </row>
    <row r="669" spans="1:14" x14ac:dyDescent="0.35">
      <c r="A669" s="1" t="s">
        <v>4321</v>
      </c>
      <c r="B669" s="3" t="s">
        <v>1848</v>
      </c>
      <c r="C669" s="1" t="s">
        <v>1849</v>
      </c>
      <c r="D669" s="1" t="s">
        <v>9447</v>
      </c>
      <c r="E669" s="1" t="str">
        <f>"7520"</f>
        <v>7520</v>
      </c>
      <c r="F669" s="1" t="str">
        <f>"013837950"</f>
        <v>013837950</v>
      </c>
      <c r="G669" s="1" t="s">
        <v>5966</v>
      </c>
      <c r="H669" s="1" t="s">
        <v>58</v>
      </c>
      <c r="I669" s="3" t="str">
        <f>"10"</f>
        <v>10</v>
      </c>
      <c r="J669" s="3" t="str">
        <f>"9"</f>
        <v>9</v>
      </c>
      <c r="K669" s="2">
        <v>45922</v>
      </c>
      <c r="L669" s="2">
        <v>45924</v>
      </c>
      <c r="M669" s="1" t="s">
        <v>9446</v>
      </c>
      <c r="N669" s="1" t="s">
        <v>9445</v>
      </c>
    </row>
    <row r="670" spans="1:14" x14ac:dyDescent="0.35">
      <c r="A670" s="1" t="s">
        <v>4321</v>
      </c>
      <c r="B670" s="3" t="s">
        <v>2244</v>
      </c>
      <c r="C670" s="1" t="s">
        <v>9444</v>
      </c>
      <c r="D670" s="1" t="s">
        <v>9443</v>
      </c>
      <c r="E670" s="1" t="str">
        <f>"5130"</f>
        <v>5130</v>
      </c>
      <c r="F670" s="1" t="s">
        <v>3746</v>
      </c>
      <c r="G670" s="1" t="s">
        <v>3747</v>
      </c>
      <c r="H670" s="1" t="s">
        <v>15</v>
      </c>
      <c r="I670" s="3" t="str">
        <f>"1"</f>
        <v>1</v>
      </c>
      <c r="J670" s="3" t="str">
        <f>"69"</f>
        <v>69</v>
      </c>
      <c r="K670" s="2">
        <v>45922</v>
      </c>
      <c r="L670" s="2">
        <v>45924</v>
      </c>
      <c r="M670" s="1" t="s">
        <v>9442</v>
      </c>
      <c r="N670" s="1" t="s">
        <v>9441</v>
      </c>
    </row>
    <row r="671" spans="1:14" x14ac:dyDescent="0.35">
      <c r="A671" s="1" t="s">
        <v>4321</v>
      </c>
      <c r="B671" s="3" t="s">
        <v>4087</v>
      </c>
      <c r="C671" s="1" t="s">
        <v>4143</v>
      </c>
      <c r="D671" s="1" t="s">
        <v>9440</v>
      </c>
      <c r="E671" s="1" t="str">
        <f>"7025"</f>
        <v>7025</v>
      </c>
      <c r="F671" s="1" t="str">
        <f>"015748001"</f>
        <v>015748001</v>
      </c>
      <c r="G671" s="1" t="s">
        <v>9439</v>
      </c>
      <c r="H671" s="1" t="s">
        <v>15</v>
      </c>
      <c r="I671" s="3" t="str">
        <f>"2"</f>
        <v>2</v>
      </c>
      <c r="J671" s="3">
        <v>656.51</v>
      </c>
      <c r="K671" s="2">
        <v>45922</v>
      </c>
      <c r="L671" s="2">
        <v>45924</v>
      </c>
      <c r="M671" s="1" t="s">
        <v>9438</v>
      </c>
      <c r="N671" s="1" t="s">
        <v>9437</v>
      </c>
    </row>
    <row r="672" spans="1:14" x14ac:dyDescent="0.35">
      <c r="A672" s="1" t="s">
        <v>4321</v>
      </c>
      <c r="B672" s="3" t="s">
        <v>806</v>
      </c>
      <c r="C672" s="1" t="s">
        <v>870</v>
      </c>
      <c r="D672" s="1" t="s">
        <v>9436</v>
      </c>
      <c r="E672" s="1" t="str">
        <f>"5140"</f>
        <v>5140</v>
      </c>
      <c r="F672" s="1" t="s">
        <v>9145</v>
      </c>
      <c r="G672" s="1" t="s">
        <v>9144</v>
      </c>
      <c r="H672" s="1" t="s">
        <v>15</v>
      </c>
      <c r="I672" s="3" t="str">
        <f>"2"</f>
        <v>2</v>
      </c>
      <c r="J672" s="3">
        <v>709.8</v>
      </c>
      <c r="K672" s="2">
        <v>45922</v>
      </c>
      <c r="L672" s="2">
        <v>45924</v>
      </c>
      <c r="M672" s="1" t="s">
        <v>9433</v>
      </c>
      <c r="N672" s="1" t="s">
        <v>9435</v>
      </c>
    </row>
    <row r="673" spans="1:14" x14ac:dyDescent="0.35">
      <c r="A673" s="1" t="s">
        <v>4321</v>
      </c>
      <c r="B673" s="3" t="s">
        <v>806</v>
      </c>
      <c r="C673" s="1" t="s">
        <v>870</v>
      </c>
      <c r="D673" s="1" t="s">
        <v>9434</v>
      </c>
      <c r="E673" s="1" t="str">
        <f>"5140"</f>
        <v>5140</v>
      </c>
      <c r="F673" s="1" t="s">
        <v>9145</v>
      </c>
      <c r="G673" s="1" t="s">
        <v>9144</v>
      </c>
      <c r="H673" s="1" t="s">
        <v>15</v>
      </c>
      <c r="I673" s="3" t="str">
        <f>"1"</f>
        <v>1</v>
      </c>
      <c r="J673" s="3">
        <v>5245.03</v>
      </c>
      <c r="K673" s="2">
        <v>45922</v>
      </c>
      <c r="L673" s="2">
        <v>45924</v>
      </c>
      <c r="M673" s="1" t="s">
        <v>9433</v>
      </c>
      <c r="N673" s="1" t="s">
        <v>9432</v>
      </c>
    </row>
    <row r="674" spans="1:14" x14ac:dyDescent="0.35">
      <c r="A674" s="1" t="s">
        <v>4321</v>
      </c>
      <c r="B674" s="3" t="s">
        <v>3105</v>
      </c>
      <c r="C674" s="1" t="s">
        <v>3141</v>
      </c>
      <c r="D674" s="1" t="s">
        <v>9431</v>
      </c>
      <c r="E674" s="1" t="str">
        <f>"1005"</f>
        <v>1005</v>
      </c>
      <c r="F674" s="1" t="str">
        <f>"015597993"</f>
        <v>015597993</v>
      </c>
      <c r="G674" s="1" t="s">
        <v>5858</v>
      </c>
      <c r="H674" s="1" t="s">
        <v>15</v>
      </c>
      <c r="I674" s="3" t="str">
        <f>"15"</f>
        <v>15</v>
      </c>
      <c r="J674" s="3">
        <v>485.43</v>
      </c>
      <c r="K674" s="2">
        <v>45922</v>
      </c>
      <c r="L674" s="2">
        <v>45924</v>
      </c>
      <c r="M674" s="1" t="s">
        <v>9430</v>
      </c>
      <c r="N674" s="1" t="s">
        <v>9429</v>
      </c>
    </row>
    <row r="675" spans="1:14" x14ac:dyDescent="0.35">
      <c r="A675" s="1" t="s">
        <v>4321</v>
      </c>
      <c r="B675" s="3" t="s">
        <v>806</v>
      </c>
      <c r="C675" s="1" t="s">
        <v>859</v>
      </c>
      <c r="D675" s="1" t="s">
        <v>9428</v>
      </c>
      <c r="E675" s="1" t="str">
        <f>"5140"</f>
        <v>5140</v>
      </c>
      <c r="F675" s="1" t="s">
        <v>9145</v>
      </c>
      <c r="G675" s="1" t="s">
        <v>9144</v>
      </c>
      <c r="H675" s="1" t="s">
        <v>15</v>
      </c>
      <c r="I675" s="3" t="str">
        <f>"1"</f>
        <v>1</v>
      </c>
      <c r="J675" s="3">
        <v>5245.03</v>
      </c>
      <c r="K675" s="2">
        <v>45918</v>
      </c>
      <c r="L675" s="2">
        <v>45924</v>
      </c>
      <c r="M675" s="1" t="s">
        <v>9427</v>
      </c>
      <c r="N675" s="1" t="s">
        <v>9426</v>
      </c>
    </row>
    <row r="676" spans="1:14" x14ac:dyDescent="0.35">
      <c r="A676" s="1" t="s">
        <v>4321</v>
      </c>
      <c r="B676" s="3" t="s">
        <v>93</v>
      </c>
      <c r="C676" s="1" t="s">
        <v>450</v>
      </c>
      <c r="D676" s="1" t="s">
        <v>9425</v>
      </c>
      <c r="E676" s="1" t="str">
        <f>"7830"</f>
        <v>7830</v>
      </c>
      <c r="F676" s="1" t="s">
        <v>42</v>
      </c>
      <c r="G676" s="1" t="s">
        <v>43</v>
      </c>
      <c r="H676" s="1" t="s">
        <v>15</v>
      </c>
      <c r="I676" s="3" t="str">
        <f>"2"</f>
        <v>2</v>
      </c>
      <c r="J676" s="3" t="str">
        <f>"2000"</f>
        <v>2000</v>
      </c>
      <c r="K676" s="2">
        <v>45916</v>
      </c>
      <c r="L676" s="2">
        <v>45924</v>
      </c>
      <c r="M676" s="1" t="s">
        <v>9424</v>
      </c>
      <c r="N676" s="1" t="s">
        <v>9423</v>
      </c>
    </row>
    <row r="677" spans="1:14" x14ac:dyDescent="0.35">
      <c r="A677" s="1" t="s">
        <v>4321</v>
      </c>
      <c r="B677" s="3" t="s">
        <v>4087</v>
      </c>
      <c r="C677" s="1" t="s">
        <v>4143</v>
      </c>
      <c r="D677" s="1" t="s">
        <v>9422</v>
      </c>
      <c r="E677" s="1" t="str">
        <f>"6230"</f>
        <v>6230</v>
      </c>
      <c r="F677" s="1" t="str">
        <f>"015560487"</f>
        <v>015560487</v>
      </c>
      <c r="G677" s="1" t="s">
        <v>538</v>
      </c>
      <c r="H677" s="1" t="s">
        <v>15</v>
      </c>
      <c r="I677" s="3" t="str">
        <f>"3"</f>
        <v>3</v>
      </c>
      <c r="J677" s="3">
        <v>102.65</v>
      </c>
      <c r="K677" s="2">
        <v>45915</v>
      </c>
      <c r="L677" s="2">
        <v>45924</v>
      </c>
      <c r="M677" s="1" t="s">
        <v>9421</v>
      </c>
      <c r="N677" s="1" t="s">
        <v>9420</v>
      </c>
    </row>
    <row r="678" spans="1:14" x14ac:dyDescent="0.35">
      <c r="A678" s="1" t="s">
        <v>4321</v>
      </c>
      <c r="B678" s="3" t="s">
        <v>806</v>
      </c>
      <c r="C678" s="1" t="s">
        <v>1079</v>
      </c>
      <c r="D678" s="1" t="s">
        <v>9419</v>
      </c>
      <c r="E678" s="1" t="str">
        <f>"8465"</f>
        <v>8465</v>
      </c>
      <c r="F678" s="1" t="str">
        <f>"016413485"</f>
        <v>016413485</v>
      </c>
      <c r="G678" s="1" t="s">
        <v>1066</v>
      </c>
      <c r="H678" s="1" t="s">
        <v>58</v>
      </c>
      <c r="I678" s="3" t="str">
        <f>"5"</f>
        <v>5</v>
      </c>
      <c r="J678" s="3">
        <v>470.74</v>
      </c>
      <c r="K678" s="2">
        <v>45915</v>
      </c>
      <c r="L678" s="2">
        <v>45924</v>
      </c>
      <c r="M678" s="1" t="s">
        <v>9418</v>
      </c>
      <c r="N678" s="1" t="s">
        <v>9417</v>
      </c>
    </row>
    <row r="679" spans="1:14" x14ac:dyDescent="0.35">
      <c r="A679" s="1" t="s">
        <v>4321</v>
      </c>
      <c r="B679" s="3" t="s">
        <v>4087</v>
      </c>
      <c r="C679" s="1" t="s">
        <v>4143</v>
      </c>
      <c r="D679" s="1" t="s">
        <v>9416</v>
      </c>
      <c r="E679" s="1" t="str">
        <f>"7530"</f>
        <v>7530</v>
      </c>
      <c r="F679" s="1" t="str">
        <f>"011167867"</f>
        <v>011167867</v>
      </c>
      <c r="G679" s="1" t="s">
        <v>6697</v>
      </c>
      <c r="H679" s="1" t="s">
        <v>4183</v>
      </c>
      <c r="I679" s="3" t="str">
        <f>"1"</f>
        <v>1</v>
      </c>
      <c r="J679" s="3">
        <v>16.75</v>
      </c>
      <c r="K679" s="2">
        <v>45914</v>
      </c>
      <c r="L679" s="2">
        <v>45924</v>
      </c>
      <c r="M679" s="1" t="s">
        <v>9066</v>
      </c>
      <c r="N679" s="1" t="s">
        <v>9415</v>
      </c>
    </row>
    <row r="680" spans="1:14" x14ac:dyDescent="0.35">
      <c r="A680" s="1" t="s">
        <v>4321</v>
      </c>
      <c r="B680" s="3" t="s">
        <v>93</v>
      </c>
      <c r="C680" s="1" t="s">
        <v>450</v>
      </c>
      <c r="D680" s="1" t="s">
        <v>9414</v>
      </c>
      <c r="E680" s="1" t="str">
        <f>"3431"</f>
        <v>3431</v>
      </c>
      <c r="F680" s="1" t="str">
        <f>"008469636"</f>
        <v>008469636</v>
      </c>
      <c r="G680" s="1" t="s">
        <v>1793</v>
      </c>
      <c r="H680" s="1" t="s">
        <v>15</v>
      </c>
      <c r="I680" s="3" t="str">
        <f>"1"</f>
        <v>1</v>
      </c>
      <c r="J680" s="3">
        <v>12489.79</v>
      </c>
      <c r="K680" s="2">
        <v>45911</v>
      </c>
      <c r="L680" s="2">
        <v>45924</v>
      </c>
      <c r="M680" s="1" t="s">
        <v>9413</v>
      </c>
      <c r="N680" s="1" t="s">
        <v>9412</v>
      </c>
    </row>
    <row r="681" spans="1:14" x14ac:dyDescent="0.35">
      <c r="A681" s="1" t="s">
        <v>4321</v>
      </c>
      <c r="B681" s="3" t="s">
        <v>3513</v>
      </c>
      <c r="C681" s="1" t="s">
        <v>9411</v>
      </c>
      <c r="D681" s="1" t="s">
        <v>9410</v>
      </c>
      <c r="E681" s="1" t="str">
        <f>"2340"</f>
        <v>2340</v>
      </c>
      <c r="F681" s="1" t="s">
        <v>694</v>
      </c>
      <c r="G681" s="1" t="s">
        <v>695</v>
      </c>
      <c r="H681" s="1" t="s">
        <v>15</v>
      </c>
      <c r="I681" s="3" t="str">
        <f>"1"</f>
        <v>1</v>
      </c>
      <c r="J681" s="3" t="str">
        <f>"3200"</f>
        <v>3200</v>
      </c>
      <c r="K681" s="2">
        <v>45908</v>
      </c>
      <c r="L681" s="2">
        <v>45924</v>
      </c>
      <c r="M681" s="1" t="s">
        <v>9409</v>
      </c>
      <c r="N681" s="1" t="s">
        <v>9408</v>
      </c>
    </row>
    <row r="682" spans="1:14" x14ac:dyDescent="0.35">
      <c r="A682" s="1" t="s">
        <v>4321</v>
      </c>
      <c r="B682" s="3" t="s">
        <v>2720</v>
      </c>
      <c r="C682" s="1" t="s">
        <v>2828</v>
      </c>
      <c r="D682" s="1" t="s">
        <v>9407</v>
      </c>
      <c r="E682" s="1" t="str">
        <f>"6230"</f>
        <v>6230</v>
      </c>
      <c r="F682" s="1" t="s">
        <v>178</v>
      </c>
      <c r="G682" s="1" t="s">
        <v>179</v>
      </c>
      <c r="H682" s="1" t="s">
        <v>15</v>
      </c>
      <c r="I682" s="3" t="str">
        <f>"4"</f>
        <v>4</v>
      </c>
      <c r="J682" s="3" t="str">
        <f>"144"</f>
        <v>144</v>
      </c>
      <c r="K682" s="2">
        <v>45900</v>
      </c>
      <c r="L682" s="2">
        <v>45924</v>
      </c>
      <c r="M682" s="1" t="s">
        <v>9406</v>
      </c>
      <c r="N682" s="1" t="s">
        <v>9405</v>
      </c>
    </row>
    <row r="683" spans="1:14" x14ac:dyDescent="0.35">
      <c r="A683" s="1" t="s">
        <v>4321</v>
      </c>
      <c r="B683" s="3" t="s">
        <v>1407</v>
      </c>
      <c r="C683" s="1" t="s">
        <v>1420</v>
      </c>
      <c r="D683" s="1" t="s">
        <v>9404</v>
      </c>
      <c r="E683" s="1" t="str">
        <f>"8405"</f>
        <v>8405</v>
      </c>
      <c r="F683" s="1" t="str">
        <f>"015472555"</f>
        <v>015472555</v>
      </c>
      <c r="G683" s="1" t="s">
        <v>2863</v>
      </c>
      <c r="H683" s="1" t="s">
        <v>15</v>
      </c>
      <c r="I683" s="3" t="str">
        <f>"6"</f>
        <v>6</v>
      </c>
      <c r="J683" s="3">
        <v>65.52</v>
      </c>
      <c r="K683" s="2">
        <v>45895</v>
      </c>
      <c r="L683" s="2">
        <v>45924</v>
      </c>
      <c r="M683" s="1" t="s">
        <v>9399</v>
      </c>
      <c r="N683" s="1" t="s">
        <v>9403</v>
      </c>
    </row>
    <row r="684" spans="1:14" x14ac:dyDescent="0.35">
      <c r="A684" s="1" t="s">
        <v>4321</v>
      </c>
      <c r="B684" s="3" t="s">
        <v>1407</v>
      </c>
      <c r="C684" s="1" t="s">
        <v>1420</v>
      </c>
      <c r="D684" s="1" t="s">
        <v>9402</v>
      </c>
      <c r="E684" s="1" t="str">
        <f>"8405"</f>
        <v>8405</v>
      </c>
      <c r="F684" s="1" t="str">
        <f>"015472555"</f>
        <v>015472555</v>
      </c>
      <c r="G684" s="1" t="s">
        <v>2863</v>
      </c>
      <c r="H684" s="1" t="s">
        <v>15</v>
      </c>
      <c r="I684" s="3" t="str">
        <f>"3"</f>
        <v>3</v>
      </c>
      <c r="J684" s="3">
        <v>65.52</v>
      </c>
      <c r="K684" s="2">
        <v>45895</v>
      </c>
      <c r="L684" s="2">
        <v>45924</v>
      </c>
      <c r="M684" s="1" t="s">
        <v>9399</v>
      </c>
      <c r="N684" s="1" t="s">
        <v>9401</v>
      </c>
    </row>
    <row r="685" spans="1:14" x14ac:dyDescent="0.35">
      <c r="A685" s="1" t="s">
        <v>4321</v>
      </c>
      <c r="B685" s="3" t="s">
        <v>1407</v>
      </c>
      <c r="C685" s="1" t="s">
        <v>1420</v>
      </c>
      <c r="D685" s="1" t="s">
        <v>9400</v>
      </c>
      <c r="E685" s="1" t="str">
        <f>"8405"</f>
        <v>8405</v>
      </c>
      <c r="F685" s="1" t="str">
        <f>"015472555"</f>
        <v>015472555</v>
      </c>
      <c r="G685" s="1" t="s">
        <v>2863</v>
      </c>
      <c r="H685" s="1" t="s">
        <v>15</v>
      </c>
      <c r="I685" s="3" t="str">
        <f>"2"</f>
        <v>2</v>
      </c>
      <c r="J685" s="3">
        <v>65.52</v>
      </c>
      <c r="K685" s="2">
        <v>45895</v>
      </c>
      <c r="L685" s="2">
        <v>45924</v>
      </c>
      <c r="M685" s="1" t="s">
        <v>9399</v>
      </c>
      <c r="N685" s="1" t="s">
        <v>9398</v>
      </c>
    </row>
    <row r="686" spans="1:14" x14ac:dyDescent="0.35">
      <c r="A686" s="1" t="s">
        <v>4321</v>
      </c>
      <c r="B686" s="3" t="s">
        <v>93</v>
      </c>
      <c r="C686" s="1" t="s">
        <v>312</v>
      </c>
      <c r="D686" s="1" t="s">
        <v>9397</v>
      </c>
      <c r="E686" s="1" t="str">
        <f>"3830"</f>
        <v>3830</v>
      </c>
      <c r="F686" s="1" t="s">
        <v>2288</v>
      </c>
      <c r="G686" s="1" t="s">
        <v>2289</v>
      </c>
      <c r="H686" s="1" t="s">
        <v>15</v>
      </c>
      <c r="I686" s="3" t="str">
        <f>"1"</f>
        <v>1</v>
      </c>
      <c r="J686" s="3" t="str">
        <f>"1950"</f>
        <v>1950</v>
      </c>
      <c r="K686" s="2">
        <v>45894</v>
      </c>
      <c r="L686" s="2">
        <v>45924</v>
      </c>
      <c r="M686" s="1" t="s">
        <v>9396</v>
      </c>
      <c r="N686" s="1" t="s">
        <v>9395</v>
      </c>
    </row>
    <row r="687" spans="1:14" x14ac:dyDescent="0.35">
      <c r="A687" s="1" t="s">
        <v>4321</v>
      </c>
      <c r="B687" s="3" t="s">
        <v>3183</v>
      </c>
      <c r="C687" s="1" t="s">
        <v>3435</v>
      </c>
      <c r="D687" s="1" t="s">
        <v>9394</v>
      </c>
      <c r="E687" s="1" t="str">
        <f>"2320"</f>
        <v>2320</v>
      </c>
      <c r="F687" s="1" t="str">
        <f>"010948229"</f>
        <v>010948229</v>
      </c>
      <c r="G687" s="1" t="s">
        <v>373</v>
      </c>
      <c r="H687" s="1" t="s">
        <v>15</v>
      </c>
      <c r="I687" s="3" t="str">
        <f>"1"</f>
        <v>1</v>
      </c>
      <c r="J687" s="3">
        <v>9989.75</v>
      </c>
      <c r="K687" s="2">
        <v>45887</v>
      </c>
      <c r="L687" s="2">
        <v>45924</v>
      </c>
      <c r="M687" s="1" t="s">
        <v>9393</v>
      </c>
      <c r="N687" s="1" t="s">
        <v>9392</v>
      </c>
    </row>
    <row r="688" spans="1:14" x14ac:dyDescent="0.35">
      <c r="A688" s="1" t="s">
        <v>4321</v>
      </c>
      <c r="B688" s="3" t="s">
        <v>3183</v>
      </c>
      <c r="C688" s="1" t="s">
        <v>3256</v>
      </c>
      <c r="D688" s="1" t="s">
        <v>9391</v>
      </c>
      <c r="E688" s="1" t="str">
        <f>"2320"</f>
        <v>2320</v>
      </c>
      <c r="F688" s="1" t="s">
        <v>321</v>
      </c>
      <c r="G688" s="1" t="s">
        <v>322</v>
      </c>
      <c r="H688" s="1" t="s">
        <v>15</v>
      </c>
      <c r="I688" s="3" t="str">
        <f>"1"</f>
        <v>1</v>
      </c>
      <c r="J688" s="3" t="str">
        <f>"105998"</f>
        <v>105998</v>
      </c>
      <c r="K688" s="2">
        <v>45843</v>
      </c>
      <c r="L688" s="2">
        <v>45924</v>
      </c>
      <c r="M688" s="1" t="s">
        <v>9390</v>
      </c>
      <c r="N688" s="1" t="s">
        <v>9389</v>
      </c>
    </row>
    <row r="689" spans="1:14" x14ac:dyDescent="0.35">
      <c r="A689" s="1" t="s">
        <v>4321</v>
      </c>
      <c r="B689" s="3" t="s">
        <v>1407</v>
      </c>
      <c r="C689" s="1" t="s">
        <v>1420</v>
      </c>
      <c r="D689" s="1" t="s">
        <v>9388</v>
      </c>
      <c r="E689" s="1" t="str">
        <f>"8465"</f>
        <v>8465</v>
      </c>
      <c r="F689" s="1" t="str">
        <f>"014456274"</f>
        <v>014456274</v>
      </c>
      <c r="G689" s="1" t="s">
        <v>1434</v>
      </c>
      <c r="H689" s="1" t="s">
        <v>15</v>
      </c>
      <c r="I689" s="3" t="str">
        <f>"1"</f>
        <v>1</v>
      </c>
      <c r="J689" s="3">
        <v>265.76</v>
      </c>
      <c r="K689" s="2">
        <v>45818</v>
      </c>
      <c r="L689" s="2">
        <v>45924</v>
      </c>
      <c r="M689" s="1" t="s">
        <v>9387</v>
      </c>
      <c r="N689" s="1" t="s">
        <v>9386</v>
      </c>
    </row>
    <row r="690" spans="1:14" x14ac:dyDescent="0.35">
      <c r="A690" s="1" t="s">
        <v>4321</v>
      </c>
      <c r="B690" s="3" t="s">
        <v>4253</v>
      </c>
      <c r="C690" s="1" t="s">
        <v>4254</v>
      </c>
      <c r="D690" s="1" t="s">
        <v>9385</v>
      </c>
      <c r="E690" s="1" t="str">
        <f>"1940"</f>
        <v>1940</v>
      </c>
      <c r="F690" s="1" t="s">
        <v>567</v>
      </c>
      <c r="G690" s="1" t="s">
        <v>568</v>
      </c>
      <c r="H690" s="1" t="s">
        <v>15</v>
      </c>
      <c r="I690" s="3" t="str">
        <f>"1"</f>
        <v>1</v>
      </c>
      <c r="J690" s="3" t="str">
        <f>"7000"</f>
        <v>7000</v>
      </c>
      <c r="K690" s="2">
        <v>45801</v>
      </c>
      <c r="L690" s="2">
        <v>45924</v>
      </c>
      <c r="M690" s="1" t="s">
        <v>9384</v>
      </c>
      <c r="N690" s="1" t="s">
        <v>9383</v>
      </c>
    </row>
    <row r="691" spans="1:14" x14ac:dyDescent="0.35">
      <c r="A691" s="1" t="s">
        <v>4321</v>
      </c>
      <c r="B691" s="3" t="s">
        <v>93</v>
      </c>
      <c r="C691" s="1" t="s">
        <v>319</v>
      </c>
      <c r="D691" s="1" t="s">
        <v>9382</v>
      </c>
      <c r="E691" s="1" t="str">
        <f>"3805"</f>
        <v>3805</v>
      </c>
      <c r="F691" s="1" t="s">
        <v>2913</v>
      </c>
      <c r="G691" s="1" t="s">
        <v>2914</v>
      </c>
      <c r="H691" s="1" t="s">
        <v>15</v>
      </c>
      <c r="I691" s="3" t="str">
        <f>"1"</f>
        <v>1</v>
      </c>
      <c r="J691" s="3" t="str">
        <f>"30000"</f>
        <v>30000</v>
      </c>
      <c r="K691" s="2">
        <v>45923</v>
      </c>
      <c r="L691" s="2">
        <v>45923</v>
      </c>
      <c r="N691" s="1" t="s">
        <v>9381</v>
      </c>
    </row>
    <row r="692" spans="1:14" x14ac:dyDescent="0.35">
      <c r="A692" s="1" t="s">
        <v>4321</v>
      </c>
      <c r="B692" s="3" t="s">
        <v>2244</v>
      </c>
      <c r="C692" s="1" t="s">
        <v>9378</v>
      </c>
      <c r="D692" s="1" t="s">
        <v>9380</v>
      </c>
      <c r="E692" s="1" t="str">
        <f>"1550"</f>
        <v>1550</v>
      </c>
      <c r="F692" s="1" t="str">
        <f>"015389256"</f>
        <v>015389256</v>
      </c>
      <c r="G692" s="1" t="s">
        <v>2416</v>
      </c>
      <c r="H692" s="1" t="s">
        <v>15</v>
      </c>
      <c r="I692" s="3" t="str">
        <f>"1"</f>
        <v>1</v>
      </c>
      <c r="J692" s="3" t="str">
        <f>"100000"</f>
        <v>100000</v>
      </c>
      <c r="K692" s="2">
        <v>45922</v>
      </c>
      <c r="L692" s="2">
        <v>45923</v>
      </c>
      <c r="M692" s="1" t="s">
        <v>9379</v>
      </c>
      <c r="N692" s="1" t="s">
        <v>4343</v>
      </c>
    </row>
    <row r="693" spans="1:14" x14ac:dyDescent="0.35">
      <c r="A693" s="1" t="s">
        <v>4321</v>
      </c>
      <c r="B693" s="3" t="s">
        <v>2244</v>
      </c>
      <c r="C693" s="1" t="s">
        <v>9378</v>
      </c>
      <c r="D693" s="1" t="s">
        <v>9377</v>
      </c>
      <c r="E693" s="1" t="str">
        <f>"1550"</f>
        <v>1550</v>
      </c>
      <c r="F693" s="1" t="str">
        <f>"015872765"</f>
        <v>015872765</v>
      </c>
      <c r="G693" s="1" t="s">
        <v>2416</v>
      </c>
      <c r="H693" s="1" t="s">
        <v>15</v>
      </c>
      <c r="I693" s="3" t="str">
        <f>"1"</f>
        <v>1</v>
      </c>
      <c r="J693" s="3" t="str">
        <f>"100000"</f>
        <v>100000</v>
      </c>
      <c r="K693" s="2">
        <v>45922</v>
      </c>
      <c r="L693" s="2">
        <v>45923</v>
      </c>
      <c r="M693" s="1" t="s">
        <v>9376</v>
      </c>
      <c r="N693" s="1" t="s">
        <v>4343</v>
      </c>
    </row>
    <row r="694" spans="1:14" x14ac:dyDescent="0.35">
      <c r="A694" s="1" t="s">
        <v>4321</v>
      </c>
      <c r="B694" s="3" t="s">
        <v>1857</v>
      </c>
      <c r="C694" s="1" t="s">
        <v>1906</v>
      </c>
      <c r="D694" s="1" t="s">
        <v>9375</v>
      </c>
      <c r="E694" s="1" t="str">
        <f>"3930"</f>
        <v>3930</v>
      </c>
      <c r="F694" s="1" t="s">
        <v>150</v>
      </c>
      <c r="G694" s="1" t="s">
        <v>151</v>
      </c>
      <c r="H694" s="1" t="s">
        <v>15</v>
      </c>
      <c r="I694" s="3" t="str">
        <f>"1"</f>
        <v>1</v>
      </c>
      <c r="J694" s="3" t="str">
        <f>"45743"</f>
        <v>45743</v>
      </c>
      <c r="K694" s="2">
        <v>45922</v>
      </c>
      <c r="L694" s="2">
        <v>45923</v>
      </c>
      <c r="M694" s="1" t="s">
        <v>9374</v>
      </c>
      <c r="N694" s="1" t="s">
        <v>4343</v>
      </c>
    </row>
    <row r="695" spans="1:14" x14ac:dyDescent="0.35">
      <c r="A695" s="1" t="s">
        <v>4321</v>
      </c>
      <c r="B695" s="3" t="s">
        <v>1848</v>
      </c>
      <c r="C695" s="1" t="s">
        <v>1849</v>
      </c>
      <c r="D695" s="1" t="s">
        <v>9373</v>
      </c>
      <c r="E695" s="1" t="str">
        <f>"3930"</f>
        <v>3930</v>
      </c>
      <c r="F695" s="1" t="s">
        <v>150</v>
      </c>
      <c r="G695" s="1" t="s">
        <v>151</v>
      </c>
      <c r="H695" s="1" t="s">
        <v>15</v>
      </c>
      <c r="I695" s="3" t="str">
        <f>"1"</f>
        <v>1</v>
      </c>
      <c r="J695" s="3" t="str">
        <f>"45743"</f>
        <v>45743</v>
      </c>
      <c r="K695" s="2">
        <v>45922</v>
      </c>
      <c r="L695" s="2">
        <v>45923</v>
      </c>
      <c r="M695" s="1" t="s">
        <v>9372</v>
      </c>
      <c r="N695" s="1" t="s">
        <v>4343</v>
      </c>
    </row>
    <row r="696" spans="1:14" x14ac:dyDescent="0.35">
      <c r="A696" s="1" t="s">
        <v>4321</v>
      </c>
      <c r="B696" s="3" t="s">
        <v>2000</v>
      </c>
      <c r="C696" s="1" t="s">
        <v>2062</v>
      </c>
      <c r="D696" s="1" t="s">
        <v>9371</v>
      </c>
      <c r="E696" s="1" t="str">
        <f>"1385"</f>
        <v>1385</v>
      </c>
      <c r="F696" s="1" t="s">
        <v>3120</v>
      </c>
      <c r="G696" s="1" t="s">
        <v>3121</v>
      </c>
      <c r="H696" s="1" t="s">
        <v>15</v>
      </c>
      <c r="I696" s="3" t="str">
        <f>"1"</f>
        <v>1</v>
      </c>
      <c r="J696" s="3" t="str">
        <f>"300000"</f>
        <v>300000</v>
      </c>
      <c r="K696" s="2">
        <v>45922</v>
      </c>
      <c r="L696" s="2">
        <v>45923</v>
      </c>
      <c r="M696" s="1" t="s">
        <v>9370</v>
      </c>
      <c r="N696" s="1" t="s">
        <v>9369</v>
      </c>
    </row>
    <row r="697" spans="1:14" x14ac:dyDescent="0.35">
      <c r="A697" s="1" t="s">
        <v>4321</v>
      </c>
      <c r="B697" s="3" t="s">
        <v>2000</v>
      </c>
      <c r="C697" s="1" t="s">
        <v>2062</v>
      </c>
      <c r="D697" s="1" t="s">
        <v>9371</v>
      </c>
      <c r="E697" s="1" t="str">
        <f>"1385"</f>
        <v>1385</v>
      </c>
      <c r="F697" s="1" t="s">
        <v>3120</v>
      </c>
      <c r="G697" s="1" t="s">
        <v>3121</v>
      </c>
      <c r="H697" s="1" t="s">
        <v>15</v>
      </c>
      <c r="I697" s="3" t="str">
        <f>"1"</f>
        <v>1</v>
      </c>
      <c r="J697" s="3" t="str">
        <f>"300000"</f>
        <v>300000</v>
      </c>
      <c r="K697" s="2">
        <v>45922</v>
      </c>
      <c r="L697" s="2">
        <v>45923</v>
      </c>
      <c r="M697" s="1" t="s">
        <v>9370</v>
      </c>
      <c r="N697" s="1" t="s">
        <v>9369</v>
      </c>
    </row>
    <row r="698" spans="1:14" x14ac:dyDescent="0.35">
      <c r="A698" s="1" t="s">
        <v>4321</v>
      </c>
      <c r="B698" s="3" t="s">
        <v>2248</v>
      </c>
      <c r="C698" s="1" t="s">
        <v>2326</v>
      </c>
      <c r="D698" s="1" t="s">
        <v>9368</v>
      </c>
      <c r="E698" s="1" t="str">
        <f>"1385"</f>
        <v>1385</v>
      </c>
      <c r="F698" s="1" t="str">
        <f>"015744707"</f>
        <v>015744707</v>
      </c>
      <c r="G698" s="1" t="s">
        <v>2247</v>
      </c>
      <c r="H698" s="1" t="s">
        <v>15</v>
      </c>
      <c r="I698" s="3" t="str">
        <f>"1"</f>
        <v>1</v>
      </c>
      <c r="J698" s="3" t="str">
        <f>"10000"</f>
        <v>10000</v>
      </c>
      <c r="K698" s="2">
        <v>45922</v>
      </c>
      <c r="L698" s="2">
        <v>45923</v>
      </c>
      <c r="M698" s="1" t="s">
        <v>9367</v>
      </c>
      <c r="N698" s="1" t="s">
        <v>4343</v>
      </c>
    </row>
    <row r="699" spans="1:14" x14ac:dyDescent="0.35">
      <c r="A699" s="1" t="s">
        <v>4321</v>
      </c>
      <c r="B699" s="3" t="s">
        <v>1407</v>
      </c>
      <c r="C699" s="1" t="s">
        <v>1420</v>
      </c>
      <c r="D699" s="1" t="s">
        <v>9366</v>
      </c>
      <c r="E699" s="1" t="str">
        <f>"8465"</f>
        <v>8465</v>
      </c>
      <c r="F699" s="1" t="str">
        <f>"014456274"</f>
        <v>014456274</v>
      </c>
      <c r="G699" s="1" t="s">
        <v>1434</v>
      </c>
      <c r="H699" s="1" t="s">
        <v>15</v>
      </c>
      <c r="I699" s="3" t="str">
        <f>"25"</f>
        <v>25</v>
      </c>
      <c r="J699" s="3">
        <v>265.76</v>
      </c>
      <c r="K699" s="2">
        <v>45922</v>
      </c>
      <c r="L699" s="2">
        <v>45923</v>
      </c>
      <c r="M699" s="1" t="s">
        <v>9365</v>
      </c>
      <c r="N699" s="1" t="s">
        <v>4343</v>
      </c>
    </row>
    <row r="700" spans="1:14" x14ac:dyDescent="0.35">
      <c r="A700" s="1" t="s">
        <v>4321</v>
      </c>
      <c r="B700" s="3" t="s">
        <v>3183</v>
      </c>
      <c r="C700" s="1" t="s">
        <v>3495</v>
      </c>
      <c r="D700" s="1" t="s">
        <v>9364</v>
      </c>
      <c r="E700" s="1" t="str">
        <f>"4240"</f>
        <v>4240</v>
      </c>
      <c r="F700" s="1" t="str">
        <f>"015253095"</f>
        <v>015253095</v>
      </c>
      <c r="G700" s="1" t="s">
        <v>9363</v>
      </c>
      <c r="H700" s="1" t="s">
        <v>15</v>
      </c>
      <c r="I700" s="3" t="str">
        <f>"20"</f>
        <v>20</v>
      </c>
      <c r="J700" s="3">
        <v>128.75</v>
      </c>
      <c r="K700" s="2">
        <v>45922</v>
      </c>
      <c r="L700" s="2">
        <v>45923</v>
      </c>
      <c r="M700" s="1" t="s">
        <v>9362</v>
      </c>
      <c r="N700" s="1" t="s">
        <v>9361</v>
      </c>
    </row>
    <row r="701" spans="1:14" x14ac:dyDescent="0.35">
      <c r="A701" s="1" t="s">
        <v>4321</v>
      </c>
      <c r="B701" s="3" t="s">
        <v>3183</v>
      </c>
      <c r="C701" s="1" t="s">
        <v>3184</v>
      </c>
      <c r="D701" s="1" t="s">
        <v>9360</v>
      </c>
      <c r="E701" s="1" t="str">
        <f>"2320"</f>
        <v>2320</v>
      </c>
      <c r="F701" s="1" t="str">
        <f>"014356143"</f>
        <v>014356143</v>
      </c>
      <c r="G701" s="1" t="s">
        <v>373</v>
      </c>
      <c r="H701" s="1" t="s">
        <v>15</v>
      </c>
      <c r="I701" s="3" t="str">
        <f>"1"</f>
        <v>1</v>
      </c>
      <c r="J701" s="3" t="str">
        <f>"19257"</f>
        <v>19257</v>
      </c>
      <c r="K701" s="2">
        <v>45921</v>
      </c>
      <c r="L701" s="2">
        <v>45923</v>
      </c>
      <c r="M701" s="1" t="s">
        <v>9359</v>
      </c>
      <c r="N701" s="1" t="s">
        <v>9358</v>
      </c>
    </row>
    <row r="702" spans="1:14" x14ac:dyDescent="0.35">
      <c r="A702" s="1" t="s">
        <v>4321</v>
      </c>
      <c r="B702" s="3" t="s">
        <v>3183</v>
      </c>
      <c r="C702" s="1" t="s">
        <v>3184</v>
      </c>
      <c r="D702" s="1" t="s">
        <v>9360</v>
      </c>
      <c r="E702" s="1" t="str">
        <f>"2320"</f>
        <v>2320</v>
      </c>
      <c r="F702" s="1" t="str">
        <f>"014356143"</f>
        <v>014356143</v>
      </c>
      <c r="G702" s="1" t="s">
        <v>373</v>
      </c>
      <c r="H702" s="1" t="s">
        <v>15</v>
      </c>
      <c r="I702" s="3" t="str">
        <f>"1"</f>
        <v>1</v>
      </c>
      <c r="J702" s="3" t="str">
        <f>"19257"</f>
        <v>19257</v>
      </c>
      <c r="K702" s="2">
        <v>45921</v>
      </c>
      <c r="L702" s="2">
        <v>45923</v>
      </c>
      <c r="M702" s="1" t="s">
        <v>9359</v>
      </c>
      <c r="N702" s="1" t="s">
        <v>9358</v>
      </c>
    </row>
    <row r="703" spans="1:14" x14ac:dyDescent="0.35">
      <c r="A703" s="1" t="s">
        <v>4321</v>
      </c>
      <c r="B703" s="3" t="s">
        <v>4253</v>
      </c>
      <c r="C703" s="1" t="s">
        <v>4268</v>
      </c>
      <c r="D703" s="1" t="s">
        <v>9357</v>
      </c>
      <c r="E703" s="1" t="str">
        <f>"1550"</f>
        <v>1550</v>
      </c>
      <c r="F703" s="1" t="str">
        <f>"016215533"</f>
        <v>016215533</v>
      </c>
      <c r="G703" s="1" t="s">
        <v>2334</v>
      </c>
      <c r="H703" s="1" t="s">
        <v>15</v>
      </c>
      <c r="I703" s="3" t="str">
        <f>"1"</f>
        <v>1</v>
      </c>
      <c r="J703" s="3" t="str">
        <f>"168000"</f>
        <v>168000</v>
      </c>
      <c r="K703" s="2">
        <v>45920</v>
      </c>
      <c r="L703" s="2">
        <v>45923</v>
      </c>
      <c r="M703" s="1" t="s">
        <v>9356</v>
      </c>
      <c r="N703" s="1" t="s">
        <v>9355</v>
      </c>
    </row>
    <row r="704" spans="1:14" x14ac:dyDescent="0.35">
      <c r="A704" s="1" t="s">
        <v>4321</v>
      </c>
      <c r="B704" s="3" t="s">
        <v>3183</v>
      </c>
      <c r="C704" s="1" t="s">
        <v>3364</v>
      </c>
      <c r="D704" s="1" t="s">
        <v>9354</v>
      </c>
      <c r="E704" s="1" t="str">
        <f>"5965"</f>
        <v>5965</v>
      </c>
      <c r="F704" s="1" t="str">
        <f>"226296584"</f>
        <v>226296584</v>
      </c>
      <c r="G704" s="1" t="s">
        <v>1389</v>
      </c>
      <c r="H704" s="1" t="s">
        <v>15</v>
      </c>
      <c r="I704" s="3" t="str">
        <f>"2"</f>
        <v>2</v>
      </c>
      <c r="J704" s="3">
        <v>1567.84</v>
      </c>
      <c r="K704" s="2">
        <v>45920</v>
      </c>
      <c r="L704" s="2">
        <v>45923</v>
      </c>
      <c r="M704" s="1" t="s">
        <v>9353</v>
      </c>
      <c r="N704" s="1" t="s">
        <v>9352</v>
      </c>
    </row>
    <row r="705" spans="1:14" x14ac:dyDescent="0.35">
      <c r="A705" s="1" t="s">
        <v>4321</v>
      </c>
      <c r="B705" s="3" t="s">
        <v>1437</v>
      </c>
      <c r="C705" s="1" t="s">
        <v>9141</v>
      </c>
      <c r="D705" s="1" t="s">
        <v>9351</v>
      </c>
      <c r="E705" s="1" t="str">
        <f>"7105"</f>
        <v>7105</v>
      </c>
      <c r="F705" s="1" t="s">
        <v>9350</v>
      </c>
      <c r="G705" s="1" t="s">
        <v>9349</v>
      </c>
      <c r="H705" s="1" t="s">
        <v>15</v>
      </c>
      <c r="I705" s="3" t="str">
        <f>"1"</f>
        <v>1</v>
      </c>
      <c r="J705" s="3" t="str">
        <f>"1904"</f>
        <v>1904</v>
      </c>
      <c r="K705" s="2">
        <v>45920</v>
      </c>
      <c r="L705" s="2">
        <v>45923</v>
      </c>
      <c r="M705" s="1" t="s">
        <v>9348</v>
      </c>
      <c r="N705" s="1" t="s">
        <v>9347</v>
      </c>
    </row>
    <row r="706" spans="1:14" x14ac:dyDescent="0.35">
      <c r="A706" s="1" t="s">
        <v>4321</v>
      </c>
      <c r="B706" s="3" t="s">
        <v>1437</v>
      </c>
      <c r="C706" s="1" t="s">
        <v>9141</v>
      </c>
      <c r="D706" s="1" t="s">
        <v>9346</v>
      </c>
      <c r="E706" s="1" t="str">
        <f>"1550"</f>
        <v>1550</v>
      </c>
      <c r="F706" s="1" t="str">
        <f>"015389256"</f>
        <v>015389256</v>
      </c>
      <c r="G706" s="1" t="s">
        <v>2416</v>
      </c>
      <c r="H706" s="1" t="s">
        <v>15</v>
      </c>
      <c r="I706" s="3" t="str">
        <f>"1"</f>
        <v>1</v>
      </c>
      <c r="J706" s="3" t="str">
        <f>"100000"</f>
        <v>100000</v>
      </c>
      <c r="K706" s="2">
        <v>45920</v>
      </c>
      <c r="L706" s="2">
        <v>45923</v>
      </c>
      <c r="M706" s="1" t="s">
        <v>9345</v>
      </c>
      <c r="N706" s="1" t="s">
        <v>4343</v>
      </c>
    </row>
    <row r="707" spans="1:14" x14ac:dyDescent="0.35">
      <c r="A707" s="1" t="s">
        <v>4321</v>
      </c>
      <c r="B707" s="3" t="s">
        <v>2145</v>
      </c>
      <c r="C707" s="1" t="s">
        <v>9149</v>
      </c>
      <c r="D707" s="1" t="s">
        <v>9344</v>
      </c>
      <c r="E707" s="1" t="str">
        <f>"5855"</f>
        <v>5855</v>
      </c>
      <c r="F707" s="1" t="s">
        <v>285</v>
      </c>
      <c r="G707" s="1" t="s">
        <v>286</v>
      </c>
      <c r="H707" s="1" t="s">
        <v>15</v>
      </c>
      <c r="I707" s="3" t="str">
        <f>"1"</f>
        <v>1</v>
      </c>
      <c r="J707" s="3">
        <v>59062.26</v>
      </c>
      <c r="K707" s="2">
        <v>45919</v>
      </c>
      <c r="L707" s="2">
        <v>45923</v>
      </c>
      <c r="M707" s="1" t="s">
        <v>9343</v>
      </c>
      <c r="N707" s="1" t="s">
        <v>9342</v>
      </c>
    </row>
    <row r="708" spans="1:14" x14ac:dyDescent="0.35">
      <c r="A708" s="1" t="s">
        <v>4321</v>
      </c>
      <c r="B708" s="3" t="s">
        <v>4087</v>
      </c>
      <c r="C708" s="1" t="s">
        <v>9341</v>
      </c>
      <c r="D708" s="1" t="s">
        <v>9340</v>
      </c>
      <c r="E708" s="1" t="str">
        <f>"5855"</f>
        <v>5855</v>
      </c>
      <c r="F708" s="1" t="s">
        <v>285</v>
      </c>
      <c r="G708" s="1" t="s">
        <v>286</v>
      </c>
      <c r="H708" s="1" t="s">
        <v>15</v>
      </c>
      <c r="I708" s="3" t="str">
        <f>"1"</f>
        <v>1</v>
      </c>
      <c r="J708" s="3">
        <v>59062.26</v>
      </c>
      <c r="K708" s="2">
        <v>45918</v>
      </c>
      <c r="L708" s="2">
        <v>45923</v>
      </c>
      <c r="M708" s="1" t="s">
        <v>9339</v>
      </c>
      <c r="N708" s="1" t="s">
        <v>9338</v>
      </c>
    </row>
    <row r="709" spans="1:14" x14ac:dyDescent="0.35">
      <c r="A709" s="1" t="s">
        <v>4321</v>
      </c>
      <c r="B709" s="3" t="s">
        <v>1407</v>
      </c>
      <c r="C709" s="1" t="s">
        <v>1408</v>
      </c>
      <c r="D709" s="1" t="s">
        <v>9337</v>
      </c>
      <c r="E709" s="1" t="str">
        <f>"5855"</f>
        <v>5855</v>
      </c>
      <c r="F709" s="1" t="s">
        <v>285</v>
      </c>
      <c r="G709" s="1" t="s">
        <v>286</v>
      </c>
      <c r="H709" s="1" t="s">
        <v>15</v>
      </c>
      <c r="I709" s="3" t="str">
        <f>"2"</f>
        <v>2</v>
      </c>
      <c r="J709" s="3">
        <v>59062.26</v>
      </c>
      <c r="K709" s="2">
        <v>45918</v>
      </c>
      <c r="L709" s="2">
        <v>45923</v>
      </c>
      <c r="M709" s="1" t="s">
        <v>9336</v>
      </c>
      <c r="N709" s="1" t="s">
        <v>9335</v>
      </c>
    </row>
    <row r="710" spans="1:14" x14ac:dyDescent="0.35">
      <c r="A710" s="1" t="s">
        <v>4321</v>
      </c>
      <c r="B710" s="3" t="s">
        <v>3105</v>
      </c>
      <c r="C710" s="1" t="s">
        <v>9334</v>
      </c>
      <c r="D710" s="1" t="s">
        <v>9333</v>
      </c>
      <c r="E710" s="1" t="str">
        <f>"5855"</f>
        <v>5855</v>
      </c>
      <c r="F710" s="1" t="s">
        <v>285</v>
      </c>
      <c r="G710" s="1" t="s">
        <v>286</v>
      </c>
      <c r="H710" s="1" t="s">
        <v>15</v>
      </c>
      <c r="I710" s="3" t="str">
        <f>"1"</f>
        <v>1</v>
      </c>
      <c r="J710" s="3">
        <v>59062.26</v>
      </c>
      <c r="K710" s="2">
        <v>45918</v>
      </c>
      <c r="L710" s="2">
        <v>45923</v>
      </c>
      <c r="M710" s="1" t="s">
        <v>9332</v>
      </c>
      <c r="N710" s="1" t="s">
        <v>9331</v>
      </c>
    </row>
    <row r="711" spans="1:14" x14ac:dyDescent="0.35">
      <c r="A711" s="1" t="s">
        <v>4321</v>
      </c>
      <c r="B711" s="3" t="s">
        <v>806</v>
      </c>
      <c r="C711" s="1" t="s">
        <v>1079</v>
      </c>
      <c r="D711" s="1" t="s">
        <v>9330</v>
      </c>
      <c r="E711" s="1" t="str">
        <f>"6545"</f>
        <v>6545</v>
      </c>
      <c r="F711" s="1" t="str">
        <f>"012476593"</f>
        <v>012476593</v>
      </c>
      <c r="G711" s="1" t="s">
        <v>9329</v>
      </c>
      <c r="H711" s="1" t="s">
        <v>58</v>
      </c>
      <c r="I711" s="3" t="str">
        <f>"2"</f>
        <v>2</v>
      </c>
      <c r="J711" s="3">
        <v>179329.18</v>
      </c>
      <c r="K711" s="2">
        <v>45917</v>
      </c>
      <c r="L711" s="2">
        <v>45923</v>
      </c>
      <c r="M711" s="1" t="s">
        <v>9328</v>
      </c>
      <c r="N711" s="1" t="s">
        <v>9327</v>
      </c>
    </row>
    <row r="712" spans="1:14" x14ac:dyDescent="0.35">
      <c r="A712" s="1" t="s">
        <v>4321</v>
      </c>
      <c r="B712" s="3" t="s">
        <v>806</v>
      </c>
      <c r="C712" s="1" t="s">
        <v>1079</v>
      </c>
      <c r="D712" s="1" t="s">
        <v>9326</v>
      </c>
      <c r="E712" s="1" t="str">
        <f>"3920"</f>
        <v>3920</v>
      </c>
      <c r="F712" s="1" t="s">
        <v>486</v>
      </c>
      <c r="G712" s="1" t="s">
        <v>487</v>
      </c>
      <c r="H712" s="1" t="s">
        <v>15</v>
      </c>
      <c r="I712" s="3" t="str">
        <f>"1"</f>
        <v>1</v>
      </c>
      <c r="J712" s="3" t="str">
        <f>"450"</f>
        <v>450</v>
      </c>
      <c r="K712" s="2">
        <v>45915</v>
      </c>
      <c r="L712" s="2">
        <v>45923</v>
      </c>
      <c r="M712" s="1" t="s">
        <v>9325</v>
      </c>
      <c r="N712" s="1" t="s">
        <v>9324</v>
      </c>
    </row>
    <row r="713" spans="1:14" x14ac:dyDescent="0.35">
      <c r="A713" s="1" t="s">
        <v>4321</v>
      </c>
      <c r="B713" s="3" t="s">
        <v>3183</v>
      </c>
      <c r="C713" s="1" t="s">
        <v>3435</v>
      </c>
      <c r="D713" s="1" t="s">
        <v>9323</v>
      </c>
      <c r="E713" s="1" t="str">
        <f>"2330"</f>
        <v>2330</v>
      </c>
      <c r="F713" s="1" t="str">
        <f>"013959234"</f>
        <v>013959234</v>
      </c>
      <c r="G713" s="1" t="s">
        <v>2230</v>
      </c>
      <c r="H713" s="1" t="s">
        <v>15</v>
      </c>
      <c r="I713" s="3" t="str">
        <f>"1"</f>
        <v>1</v>
      </c>
      <c r="J713" s="3">
        <v>19412.400000000001</v>
      </c>
      <c r="K713" s="2">
        <v>45914</v>
      </c>
      <c r="L713" s="2">
        <v>45923</v>
      </c>
      <c r="M713" s="1" t="s">
        <v>9322</v>
      </c>
      <c r="N713" s="1" t="s">
        <v>9321</v>
      </c>
    </row>
    <row r="714" spans="1:14" x14ac:dyDescent="0.35">
      <c r="A714" s="1" t="s">
        <v>4321</v>
      </c>
      <c r="B714" s="3" t="s">
        <v>806</v>
      </c>
      <c r="C714" s="1" t="s">
        <v>866</v>
      </c>
      <c r="D714" s="1" t="s">
        <v>9320</v>
      </c>
      <c r="E714" s="1" t="str">
        <f>"5965"</f>
        <v>5965</v>
      </c>
      <c r="F714" s="1" t="str">
        <f>"015727829"</f>
        <v>015727829</v>
      </c>
      <c r="G714" s="1" t="s">
        <v>22</v>
      </c>
      <c r="H714" s="1" t="s">
        <v>19</v>
      </c>
      <c r="I714" s="3" t="str">
        <f>"11"</f>
        <v>11</v>
      </c>
      <c r="J714" s="3">
        <v>1486.13</v>
      </c>
      <c r="K714" s="2">
        <v>45913</v>
      </c>
      <c r="L714" s="2">
        <v>45923</v>
      </c>
      <c r="M714" s="1" t="s">
        <v>9319</v>
      </c>
      <c r="N714" s="1" t="s">
        <v>4343</v>
      </c>
    </row>
    <row r="715" spans="1:14" x14ac:dyDescent="0.35">
      <c r="A715" s="1" t="s">
        <v>4321</v>
      </c>
      <c r="B715" s="3" t="s">
        <v>93</v>
      </c>
      <c r="C715" s="1" t="s">
        <v>258</v>
      </c>
      <c r="D715" s="1" t="s">
        <v>9318</v>
      </c>
      <c r="E715" s="1" t="str">
        <f>"2330"</f>
        <v>2330</v>
      </c>
      <c r="F715" s="1" t="str">
        <f>"013959234"</f>
        <v>013959234</v>
      </c>
      <c r="G715" s="1" t="s">
        <v>2230</v>
      </c>
      <c r="H715" s="1" t="s">
        <v>15</v>
      </c>
      <c r="I715" s="3" t="str">
        <f>"1"</f>
        <v>1</v>
      </c>
      <c r="J715" s="3">
        <v>19412.400000000001</v>
      </c>
      <c r="K715" s="2">
        <v>45913</v>
      </c>
      <c r="L715" s="2">
        <v>45923</v>
      </c>
      <c r="M715" s="1" t="s">
        <v>9317</v>
      </c>
      <c r="N715" s="1" t="s">
        <v>9316</v>
      </c>
    </row>
    <row r="716" spans="1:14" x14ac:dyDescent="0.35">
      <c r="A716" s="1" t="s">
        <v>4321</v>
      </c>
      <c r="B716" s="3" t="s">
        <v>2000</v>
      </c>
      <c r="C716" s="1" t="s">
        <v>2051</v>
      </c>
      <c r="D716" s="1" t="s">
        <v>9315</v>
      </c>
      <c r="E716" s="1" t="str">
        <f>"5965"</f>
        <v>5965</v>
      </c>
      <c r="F716" s="1" t="str">
        <f>"015727829"</f>
        <v>015727829</v>
      </c>
      <c r="G716" s="1" t="s">
        <v>22</v>
      </c>
      <c r="H716" s="1" t="s">
        <v>19</v>
      </c>
      <c r="I716" s="3" t="str">
        <f>"10"</f>
        <v>10</v>
      </c>
      <c r="J716" s="3">
        <v>1486.13</v>
      </c>
      <c r="K716" s="2">
        <v>45913</v>
      </c>
      <c r="L716" s="2">
        <v>45923</v>
      </c>
      <c r="M716" s="1" t="s">
        <v>9314</v>
      </c>
      <c r="N716" s="1" t="s">
        <v>9313</v>
      </c>
    </row>
    <row r="717" spans="1:14" x14ac:dyDescent="0.35">
      <c r="A717" s="1" t="s">
        <v>4321</v>
      </c>
      <c r="B717" s="3" t="s">
        <v>2000</v>
      </c>
      <c r="C717" s="1" t="s">
        <v>2078</v>
      </c>
      <c r="D717" s="1" t="s">
        <v>9312</v>
      </c>
      <c r="E717" s="1" t="str">
        <f>"5965"</f>
        <v>5965</v>
      </c>
      <c r="F717" s="1" t="str">
        <f>"015727829"</f>
        <v>015727829</v>
      </c>
      <c r="G717" s="1" t="s">
        <v>22</v>
      </c>
      <c r="H717" s="1" t="s">
        <v>19</v>
      </c>
      <c r="I717" s="3" t="str">
        <f>"11"</f>
        <v>11</v>
      </c>
      <c r="J717" s="3">
        <v>1486.13</v>
      </c>
      <c r="K717" s="2">
        <v>45913</v>
      </c>
      <c r="L717" s="2">
        <v>45923</v>
      </c>
      <c r="M717" s="1" t="s">
        <v>9311</v>
      </c>
      <c r="N717" s="1" t="s">
        <v>9310</v>
      </c>
    </row>
    <row r="718" spans="1:14" x14ac:dyDescent="0.35">
      <c r="A718" s="1" t="s">
        <v>4321</v>
      </c>
      <c r="B718" s="3" t="s">
        <v>2248</v>
      </c>
      <c r="C718" s="1" t="s">
        <v>9130</v>
      </c>
      <c r="D718" s="1" t="s">
        <v>9309</v>
      </c>
      <c r="E718" s="1" t="str">
        <f>"2340"</f>
        <v>2340</v>
      </c>
      <c r="F718" s="1" t="str">
        <f>"015714220"</f>
        <v>015714220</v>
      </c>
      <c r="G718" s="1" t="s">
        <v>2167</v>
      </c>
      <c r="H718" s="1" t="s">
        <v>15</v>
      </c>
      <c r="I718" s="3" t="str">
        <f>"1"</f>
        <v>1</v>
      </c>
      <c r="J718" s="3" t="str">
        <f>"14800"</f>
        <v>14800</v>
      </c>
      <c r="K718" s="2">
        <v>45911</v>
      </c>
      <c r="L718" s="2">
        <v>45923</v>
      </c>
      <c r="M718" s="1" t="s">
        <v>9308</v>
      </c>
      <c r="N718" s="1" t="s">
        <v>9307</v>
      </c>
    </row>
    <row r="719" spans="1:14" x14ac:dyDescent="0.35">
      <c r="A719" s="1" t="s">
        <v>4321</v>
      </c>
      <c r="B719" s="3" t="s">
        <v>93</v>
      </c>
      <c r="C719" s="1" t="s">
        <v>267</v>
      </c>
      <c r="D719" s="1" t="s">
        <v>9306</v>
      </c>
      <c r="E719" s="1" t="str">
        <f>"6545"</f>
        <v>6545</v>
      </c>
      <c r="F719" s="1" t="str">
        <f>"016475649"</f>
        <v>016475649</v>
      </c>
      <c r="G719" s="1" t="s">
        <v>7996</v>
      </c>
      <c r="H719" s="1" t="s">
        <v>58</v>
      </c>
      <c r="I719" s="3" t="str">
        <f>"1"</f>
        <v>1</v>
      </c>
      <c r="J719" s="3">
        <v>224751.61</v>
      </c>
      <c r="K719" s="2">
        <v>45906</v>
      </c>
      <c r="L719" s="2">
        <v>45923</v>
      </c>
      <c r="M719" s="1" t="s">
        <v>9305</v>
      </c>
      <c r="N719" s="1" t="s">
        <v>9304</v>
      </c>
    </row>
    <row r="720" spans="1:14" x14ac:dyDescent="0.35">
      <c r="A720" s="1" t="s">
        <v>4321</v>
      </c>
      <c r="B720" s="3" t="s">
        <v>4253</v>
      </c>
      <c r="C720" s="1" t="s">
        <v>4276</v>
      </c>
      <c r="D720" s="1" t="s">
        <v>9303</v>
      </c>
      <c r="E720" s="1" t="str">
        <f>"3930"</f>
        <v>3930</v>
      </c>
      <c r="F720" s="1" t="str">
        <f>"010823758"</f>
        <v>010823758</v>
      </c>
      <c r="G720" s="1" t="s">
        <v>2176</v>
      </c>
      <c r="H720" s="1" t="s">
        <v>15</v>
      </c>
      <c r="I720" s="3" t="str">
        <f>"1"</f>
        <v>1</v>
      </c>
      <c r="J720" s="3" t="str">
        <f>"159138"</f>
        <v>159138</v>
      </c>
      <c r="K720" s="2">
        <v>45904</v>
      </c>
      <c r="L720" s="2">
        <v>45923</v>
      </c>
      <c r="M720" s="1" t="s">
        <v>9302</v>
      </c>
      <c r="N720" s="1" t="s">
        <v>9301</v>
      </c>
    </row>
    <row r="721" spans="1:14" x14ac:dyDescent="0.35">
      <c r="A721" s="1" t="s">
        <v>4321</v>
      </c>
      <c r="B721" s="3" t="s">
        <v>806</v>
      </c>
      <c r="C721" s="1" t="s">
        <v>1079</v>
      </c>
      <c r="D721" s="1" t="s">
        <v>9300</v>
      </c>
      <c r="E721" s="1" t="str">
        <f>"4610"</f>
        <v>4610</v>
      </c>
      <c r="F721" s="1" t="s">
        <v>9299</v>
      </c>
      <c r="G721" s="1" t="s">
        <v>9298</v>
      </c>
      <c r="H721" s="1" t="s">
        <v>15</v>
      </c>
      <c r="I721" s="3" t="str">
        <f>"2"</f>
        <v>2</v>
      </c>
      <c r="J721" s="3">
        <v>475.97</v>
      </c>
      <c r="K721" s="2">
        <v>45903</v>
      </c>
      <c r="L721" s="2">
        <v>45923</v>
      </c>
      <c r="M721" s="1" t="s">
        <v>9297</v>
      </c>
      <c r="N721" s="1" t="s">
        <v>9296</v>
      </c>
    </row>
    <row r="722" spans="1:14" x14ac:dyDescent="0.35">
      <c r="A722" s="1" t="s">
        <v>4321</v>
      </c>
      <c r="B722" s="3" t="s">
        <v>1857</v>
      </c>
      <c r="C722" s="1" t="s">
        <v>1869</v>
      </c>
      <c r="D722" s="1" t="s">
        <v>9295</v>
      </c>
      <c r="E722" s="1" t="str">
        <f>"7125"</f>
        <v>7125</v>
      </c>
      <c r="F722" s="1" t="s">
        <v>545</v>
      </c>
      <c r="G722" s="1" t="s">
        <v>546</v>
      </c>
      <c r="H722" s="1" t="s">
        <v>547</v>
      </c>
      <c r="I722" s="3" t="str">
        <f>"1"</f>
        <v>1</v>
      </c>
      <c r="J722" s="3" t="str">
        <f>"45000"</f>
        <v>45000</v>
      </c>
      <c r="K722" s="2">
        <v>45921</v>
      </c>
      <c r="L722" s="2">
        <v>45922</v>
      </c>
      <c r="M722" s="1" t="s">
        <v>9294</v>
      </c>
      <c r="N722" s="1" t="s">
        <v>4343</v>
      </c>
    </row>
    <row r="723" spans="1:14" x14ac:dyDescent="0.35">
      <c r="A723" s="1" t="s">
        <v>4321</v>
      </c>
      <c r="B723" s="3" t="s">
        <v>3183</v>
      </c>
      <c r="C723" s="1" t="s">
        <v>3364</v>
      </c>
      <c r="D723" s="1" t="s">
        <v>9293</v>
      </c>
      <c r="E723" s="1" t="str">
        <f>"5965"</f>
        <v>5965</v>
      </c>
      <c r="F723" s="1" t="str">
        <f>"226296584"</f>
        <v>226296584</v>
      </c>
      <c r="G723" s="1" t="s">
        <v>1389</v>
      </c>
      <c r="H723" s="1" t="s">
        <v>15</v>
      </c>
      <c r="I723" s="3" t="str">
        <f>"2"</f>
        <v>2</v>
      </c>
      <c r="J723" s="3">
        <v>1567.84</v>
      </c>
      <c r="K723" s="2">
        <v>45920</v>
      </c>
      <c r="L723" s="2">
        <v>45922</v>
      </c>
      <c r="M723" s="1" t="s">
        <v>9292</v>
      </c>
      <c r="N723" s="1" t="s">
        <v>4343</v>
      </c>
    </row>
    <row r="724" spans="1:14" x14ac:dyDescent="0.35">
      <c r="A724" s="1" t="s">
        <v>4321</v>
      </c>
      <c r="B724" s="3" t="s">
        <v>3513</v>
      </c>
      <c r="C724" s="1" t="s">
        <v>3684</v>
      </c>
      <c r="D724" s="1" t="s">
        <v>9291</v>
      </c>
      <c r="E724" s="1" t="str">
        <f>"3930"</f>
        <v>3930</v>
      </c>
      <c r="F724" s="1" t="s">
        <v>150</v>
      </c>
      <c r="G724" s="1" t="s">
        <v>151</v>
      </c>
      <c r="H724" s="1" t="s">
        <v>15</v>
      </c>
      <c r="I724" s="3" t="str">
        <f>"1"</f>
        <v>1</v>
      </c>
      <c r="J724" s="3" t="str">
        <f>"43009"</f>
        <v>43009</v>
      </c>
      <c r="K724" s="2">
        <v>45913</v>
      </c>
      <c r="L724" s="2">
        <v>45922</v>
      </c>
      <c r="M724" s="1" t="s">
        <v>9290</v>
      </c>
      <c r="N724" s="1" t="s">
        <v>9289</v>
      </c>
    </row>
    <row r="725" spans="1:14" x14ac:dyDescent="0.35">
      <c r="A725" s="1" t="s">
        <v>4321</v>
      </c>
      <c r="B725" s="3" t="s">
        <v>3513</v>
      </c>
      <c r="C725" s="1" t="s">
        <v>3793</v>
      </c>
      <c r="D725" s="1" t="s">
        <v>9288</v>
      </c>
      <c r="E725" s="1" t="str">
        <f>"3930"</f>
        <v>3930</v>
      </c>
      <c r="F725" s="1" t="s">
        <v>150</v>
      </c>
      <c r="G725" s="1" t="s">
        <v>151</v>
      </c>
      <c r="H725" s="1" t="s">
        <v>15</v>
      </c>
      <c r="I725" s="3" t="str">
        <f>"1"</f>
        <v>1</v>
      </c>
      <c r="J725" s="3" t="str">
        <f>"43009"</f>
        <v>43009</v>
      </c>
      <c r="K725" s="2">
        <v>45913</v>
      </c>
      <c r="L725" s="2">
        <v>45922</v>
      </c>
      <c r="M725" s="1" t="s">
        <v>9287</v>
      </c>
      <c r="N725" s="1" t="s">
        <v>9286</v>
      </c>
    </row>
    <row r="726" spans="1:14" x14ac:dyDescent="0.35">
      <c r="A726" s="1" t="s">
        <v>4321</v>
      </c>
      <c r="B726" s="3" t="s">
        <v>93</v>
      </c>
      <c r="C726" s="1" t="s">
        <v>267</v>
      </c>
      <c r="D726" s="1" t="s">
        <v>9285</v>
      </c>
      <c r="E726" s="1" t="str">
        <f>"6760"</f>
        <v>6760</v>
      </c>
      <c r="F726" s="1" t="str">
        <f>"014581152"</f>
        <v>014581152</v>
      </c>
      <c r="G726" s="1" t="s">
        <v>886</v>
      </c>
      <c r="H726" s="1" t="s">
        <v>15</v>
      </c>
      <c r="I726" s="3" t="str">
        <f>"12"</f>
        <v>12</v>
      </c>
      <c r="J726" s="3">
        <v>66.59</v>
      </c>
      <c r="K726" s="2">
        <v>45898</v>
      </c>
      <c r="L726" s="2">
        <v>45922</v>
      </c>
      <c r="M726" s="1" t="s">
        <v>9284</v>
      </c>
      <c r="N726" s="1" t="s">
        <v>9283</v>
      </c>
    </row>
    <row r="727" spans="1:14" x14ac:dyDescent="0.35">
      <c r="A727" s="1" t="s">
        <v>4321</v>
      </c>
      <c r="B727" s="3" t="s">
        <v>93</v>
      </c>
      <c r="C727" s="1" t="s">
        <v>267</v>
      </c>
      <c r="D727" s="1" t="s">
        <v>9282</v>
      </c>
      <c r="E727" s="1" t="str">
        <f>"8140"</f>
        <v>8140</v>
      </c>
      <c r="F727" s="1" t="s">
        <v>9281</v>
      </c>
      <c r="G727" s="1" t="s">
        <v>9280</v>
      </c>
      <c r="H727" s="1" t="s">
        <v>15</v>
      </c>
      <c r="I727" s="3" t="str">
        <f>"30"</f>
        <v>30</v>
      </c>
      <c r="J727" s="3" t="str">
        <f>"50"</f>
        <v>50</v>
      </c>
      <c r="K727" s="2">
        <v>45898</v>
      </c>
      <c r="L727" s="2">
        <v>45922</v>
      </c>
      <c r="M727" s="1" t="s">
        <v>9277</v>
      </c>
      <c r="N727" s="1" t="s">
        <v>9279</v>
      </c>
    </row>
    <row r="728" spans="1:14" x14ac:dyDescent="0.35">
      <c r="A728" s="1" t="s">
        <v>4321</v>
      </c>
      <c r="B728" s="3" t="s">
        <v>93</v>
      </c>
      <c r="C728" s="1" t="s">
        <v>267</v>
      </c>
      <c r="D728" s="1" t="s">
        <v>9278</v>
      </c>
      <c r="E728" s="1" t="str">
        <f>"8145"</f>
        <v>8145</v>
      </c>
      <c r="F728" s="1" t="str">
        <f>"015561243"</f>
        <v>015561243</v>
      </c>
      <c r="G728" s="1" t="s">
        <v>599</v>
      </c>
      <c r="H728" s="1" t="s">
        <v>15</v>
      </c>
      <c r="I728" s="3" t="str">
        <f>"12"</f>
        <v>12</v>
      </c>
      <c r="J728" s="3">
        <v>387.93</v>
      </c>
      <c r="K728" s="2">
        <v>45898</v>
      </c>
      <c r="L728" s="2">
        <v>45922</v>
      </c>
      <c r="M728" s="1" t="s">
        <v>9277</v>
      </c>
      <c r="N728" s="1" t="s">
        <v>9276</v>
      </c>
    </row>
    <row r="729" spans="1:14" x14ac:dyDescent="0.35">
      <c r="A729" s="1" t="s">
        <v>4321</v>
      </c>
      <c r="B729" s="3" t="s">
        <v>93</v>
      </c>
      <c r="C729" s="1" t="s">
        <v>267</v>
      </c>
      <c r="D729" s="1" t="s">
        <v>9275</v>
      </c>
      <c r="E729" s="1" t="str">
        <f>"8465"</f>
        <v>8465</v>
      </c>
      <c r="F729" s="1" t="str">
        <f>"015987693"</f>
        <v>015987693</v>
      </c>
      <c r="G729" s="1" t="s">
        <v>857</v>
      </c>
      <c r="H729" s="1" t="s">
        <v>15</v>
      </c>
      <c r="I729" s="3" t="str">
        <f>"1"</f>
        <v>1</v>
      </c>
      <c r="J729" s="3" t="str">
        <f>"664"</f>
        <v>664</v>
      </c>
      <c r="K729" s="2">
        <v>45898</v>
      </c>
      <c r="L729" s="2">
        <v>45922</v>
      </c>
      <c r="M729" s="1" t="s">
        <v>9274</v>
      </c>
      <c r="N729" s="1" t="s">
        <v>9273</v>
      </c>
    </row>
    <row r="730" spans="1:14" x14ac:dyDescent="0.35">
      <c r="A730" s="1" t="s">
        <v>4321</v>
      </c>
      <c r="B730" s="3" t="s">
        <v>93</v>
      </c>
      <c r="C730" s="1" t="s">
        <v>267</v>
      </c>
      <c r="D730" s="1" t="s">
        <v>9272</v>
      </c>
      <c r="E730" s="1" t="str">
        <f>"8465"</f>
        <v>8465</v>
      </c>
      <c r="F730" s="1" t="str">
        <f>"015734326"</f>
        <v>015734326</v>
      </c>
      <c r="G730" s="1" t="s">
        <v>1434</v>
      </c>
      <c r="H730" s="1" t="s">
        <v>15</v>
      </c>
      <c r="I730" s="3" t="str">
        <f>"8"</f>
        <v>8</v>
      </c>
      <c r="J730" s="3">
        <v>365.73</v>
      </c>
      <c r="K730" s="2">
        <v>45898</v>
      </c>
      <c r="L730" s="2">
        <v>45922</v>
      </c>
      <c r="M730" s="1" t="s">
        <v>9271</v>
      </c>
      <c r="N730" s="1" t="s">
        <v>9270</v>
      </c>
    </row>
    <row r="731" spans="1:14" x14ac:dyDescent="0.35">
      <c r="A731" s="1" t="s">
        <v>4321</v>
      </c>
      <c r="B731" s="3" t="s">
        <v>93</v>
      </c>
      <c r="C731" s="1" t="s">
        <v>267</v>
      </c>
      <c r="D731" s="1" t="s">
        <v>9269</v>
      </c>
      <c r="E731" s="1" t="str">
        <f>"8340"</f>
        <v>8340</v>
      </c>
      <c r="F731" s="1" t="str">
        <f>"014563628"</f>
        <v>014563628</v>
      </c>
      <c r="G731" s="1" t="s">
        <v>6212</v>
      </c>
      <c r="H731" s="1" t="s">
        <v>15</v>
      </c>
      <c r="I731" s="3" t="str">
        <f>"1"</f>
        <v>1</v>
      </c>
      <c r="J731" s="3">
        <v>8443.0400000000009</v>
      </c>
      <c r="K731" s="2">
        <v>45898</v>
      </c>
      <c r="L731" s="2">
        <v>45922</v>
      </c>
      <c r="M731" s="1" t="s">
        <v>9268</v>
      </c>
      <c r="N731" s="1" t="s">
        <v>9267</v>
      </c>
    </row>
    <row r="732" spans="1:14" x14ac:dyDescent="0.35">
      <c r="A732" s="1" t="s">
        <v>4321</v>
      </c>
      <c r="B732" s="3" t="s">
        <v>2248</v>
      </c>
      <c r="C732" s="1" t="s">
        <v>8165</v>
      </c>
      <c r="D732" s="1" t="s">
        <v>9266</v>
      </c>
      <c r="E732" s="1" t="str">
        <f>"1550"</f>
        <v>1550</v>
      </c>
      <c r="F732" s="1" t="str">
        <f>"016215533"</f>
        <v>016215533</v>
      </c>
      <c r="G732" s="1" t="s">
        <v>2334</v>
      </c>
      <c r="H732" s="1" t="s">
        <v>15</v>
      </c>
      <c r="I732" s="3" t="str">
        <f>"1"</f>
        <v>1</v>
      </c>
      <c r="J732" s="3" t="str">
        <f>"168000"</f>
        <v>168000</v>
      </c>
      <c r="K732" s="2">
        <v>45895</v>
      </c>
      <c r="L732" s="2">
        <v>45922</v>
      </c>
      <c r="M732" s="1" t="s">
        <v>9116</v>
      </c>
      <c r="N732" s="1" t="s">
        <v>9265</v>
      </c>
    </row>
    <row r="733" spans="1:14" x14ac:dyDescent="0.35">
      <c r="A733" s="1" t="s">
        <v>4321</v>
      </c>
      <c r="B733" s="3" t="s">
        <v>2248</v>
      </c>
      <c r="C733" s="1" t="s">
        <v>2414</v>
      </c>
      <c r="D733" s="1" t="s">
        <v>9264</v>
      </c>
      <c r="E733" s="1" t="str">
        <f>"8145"</f>
        <v>8145</v>
      </c>
      <c r="F733" s="1" t="s">
        <v>1602</v>
      </c>
      <c r="G733" s="1" t="s">
        <v>1603</v>
      </c>
      <c r="H733" s="1" t="s">
        <v>15</v>
      </c>
      <c r="I733" s="3" t="str">
        <f>"10"</f>
        <v>10</v>
      </c>
      <c r="J733" s="3" t="str">
        <f>"200"</f>
        <v>200</v>
      </c>
      <c r="K733" s="2">
        <v>45895</v>
      </c>
      <c r="L733" s="2">
        <v>45922</v>
      </c>
      <c r="M733" s="1" t="s">
        <v>9263</v>
      </c>
      <c r="N733" s="1" t="s">
        <v>9262</v>
      </c>
    </row>
    <row r="734" spans="1:14" x14ac:dyDescent="0.35">
      <c r="A734" s="1" t="s">
        <v>4321</v>
      </c>
      <c r="B734" s="3" t="s">
        <v>93</v>
      </c>
      <c r="C734" s="1" t="s">
        <v>9261</v>
      </c>
      <c r="D734" s="1" t="s">
        <v>9260</v>
      </c>
      <c r="E734" s="1" t="str">
        <f>"6730"</f>
        <v>6730</v>
      </c>
      <c r="F734" s="1" t="s">
        <v>9259</v>
      </c>
      <c r="G734" s="1" t="s">
        <v>9258</v>
      </c>
      <c r="H734" s="1" t="s">
        <v>15</v>
      </c>
      <c r="I734" s="3" t="str">
        <f>"7"</f>
        <v>7</v>
      </c>
      <c r="J734" s="3" t="str">
        <f>"1995"</f>
        <v>1995</v>
      </c>
      <c r="K734" s="2">
        <v>45894</v>
      </c>
      <c r="L734" s="2">
        <v>45922</v>
      </c>
      <c r="M734" s="1" t="s">
        <v>9257</v>
      </c>
      <c r="N734" s="1" t="s">
        <v>9256</v>
      </c>
    </row>
    <row r="735" spans="1:14" x14ac:dyDescent="0.35">
      <c r="A735" s="1" t="s">
        <v>4321</v>
      </c>
      <c r="B735" s="3" t="s">
        <v>2720</v>
      </c>
      <c r="C735" s="1" t="s">
        <v>2931</v>
      </c>
      <c r="D735" s="1" t="s">
        <v>9255</v>
      </c>
      <c r="E735" s="1" t="str">
        <f>"8145"</f>
        <v>8145</v>
      </c>
      <c r="F735" s="1" t="s">
        <v>1602</v>
      </c>
      <c r="G735" s="1" t="s">
        <v>1603</v>
      </c>
      <c r="H735" s="1" t="s">
        <v>15</v>
      </c>
      <c r="I735" s="3" t="str">
        <f>"100"</f>
        <v>100</v>
      </c>
      <c r="J735" s="3" t="str">
        <f>"200"</f>
        <v>200</v>
      </c>
      <c r="K735" s="2">
        <v>45894</v>
      </c>
      <c r="L735" s="2">
        <v>45922</v>
      </c>
      <c r="M735" s="1" t="s">
        <v>9254</v>
      </c>
      <c r="N735" s="1" t="s">
        <v>9253</v>
      </c>
    </row>
    <row r="736" spans="1:14" x14ac:dyDescent="0.35">
      <c r="A736" s="1" t="s">
        <v>4321</v>
      </c>
      <c r="B736" s="3" t="s">
        <v>93</v>
      </c>
      <c r="C736" s="1" t="s">
        <v>565</v>
      </c>
      <c r="D736" s="1" t="s">
        <v>9252</v>
      </c>
      <c r="E736" s="1" t="str">
        <f>"3805"</f>
        <v>3805</v>
      </c>
      <c r="F736" s="1" t="s">
        <v>2913</v>
      </c>
      <c r="G736" s="1" t="s">
        <v>2914</v>
      </c>
      <c r="H736" s="1" t="s">
        <v>15</v>
      </c>
      <c r="I736" s="3" t="str">
        <f>"1"</f>
        <v>1</v>
      </c>
      <c r="J736" s="3" t="str">
        <f>"30000"</f>
        <v>30000</v>
      </c>
      <c r="K736" s="2">
        <v>45881</v>
      </c>
      <c r="L736" s="2">
        <v>45922</v>
      </c>
      <c r="M736" s="1" t="s">
        <v>9251</v>
      </c>
      <c r="N736" s="1" t="s">
        <v>9250</v>
      </c>
    </row>
    <row r="737" spans="1:14" x14ac:dyDescent="0.35">
      <c r="A737" s="1" t="s">
        <v>4321</v>
      </c>
      <c r="B737" s="3" t="s">
        <v>2248</v>
      </c>
      <c r="C737" s="1" t="s">
        <v>2424</v>
      </c>
      <c r="D737" s="1" t="s">
        <v>9249</v>
      </c>
      <c r="E737" s="1" t="str">
        <f>"6210"</f>
        <v>6210</v>
      </c>
      <c r="F737" s="1" t="s">
        <v>400</v>
      </c>
      <c r="G737" s="1" t="s">
        <v>401</v>
      </c>
      <c r="H737" s="1" t="s">
        <v>15</v>
      </c>
      <c r="I737" s="3" t="str">
        <f>"1"</f>
        <v>1</v>
      </c>
      <c r="J737" s="3" t="str">
        <f>"8000"</f>
        <v>8000</v>
      </c>
      <c r="K737" s="2">
        <v>45880</v>
      </c>
      <c r="L737" s="2">
        <v>45922</v>
      </c>
      <c r="M737" s="1" t="s">
        <v>9248</v>
      </c>
      <c r="N737" s="1" t="s">
        <v>9247</v>
      </c>
    </row>
    <row r="738" spans="1:14" x14ac:dyDescent="0.35">
      <c r="A738" s="1" t="s">
        <v>4321</v>
      </c>
      <c r="B738" s="3" t="s">
        <v>1699</v>
      </c>
      <c r="C738" s="1" t="s">
        <v>1795</v>
      </c>
      <c r="D738" s="1" t="s">
        <v>9246</v>
      </c>
      <c r="E738" s="1" t="str">
        <f>"6730"</f>
        <v>6730</v>
      </c>
      <c r="F738" s="1" t="s">
        <v>1761</v>
      </c>
      <c r="G738" s="1" t="s">
        <v>1762</v>
      </c>
      <c r="H738" s="1" t="s">
        <v>15</v>
      </c>
      <c r="I738" s="3" t="str">
        <f>"1"</f>
        <v>1</v>
      </c>
      <c r="J738" s="3" t="str">
        <f>"14394"</f>
        <v>14394</v>
      </c>
      <c r="K738" s="2">
        <v>45875</v>
      </c>
      <c r="L738" s="2">
        <v>45922</v>
      </c>
      <c r="M738" s="1" t="s">
        <v>9245</v>
      </c>
      <c r="N738" s="1" t="s">
        <v>9244</v>
      </c>
    </row>
    <row r="739" spans="1:14" x14ac:dyDescent="0.35">
      <c r="A739" s="1" t="s">
        <v>4321</v>
      </c>
      <c r="B739" s="3" t="s">
        <v>2114</v>
      </c>
      <c r="C739" s="1" t="s">
        <v>9243</v>
      </c>
      <c r="D739" s="1" t="s">
        <v>9242</v>
      </c>
      <c r="E739" s="1" t="str">
        <f>"5855"</f>
        <v>5855</v>
      </c>
      <c r="F739" s="1" t="s">
        <v>2918</v>
      </c>
      <c r="G739" s="1" t="s">
        <v>2919</v>
      </c>
      <c r="H739" s="1" t="s">
        <v>15</v>
      </c>
      <c r="I739" s="3" t="str">
        <f>"9"</f>
        <v>9</v>
      </c>
      <c r="J739" s="3" t="str">
        <f>"5000"</f>
        <v>5000</v>
      </c>
      <c r="K739" s="2">
        <v>45918</v>
      </c>
      <c r="L739" s="2">
        <v>45921</v>
      </c>
      <c r="M739" s="1" t="s">
        <v>9241</v>
      </c>
      <c r="N739" s="1" t="s">
        <v>4343</v>
      </c>
    </row>
    <row r="740" spans="1:14" x14ac:dyDescent="0.35">
      <c r="A740" s="1" t="s">
        <v>4321</v>
      </c>
      <c r="B740" s="3" t="s">
        <v>2456</v>
      </c>
      <c r="C740" s="1" t="s">
        <v>2457</v>
      </c>
      <c r="D740" s="1" t="s">
        <v>9240</v>
      </c>
      <c r="E740" s="1" t="str">
        <f>"8415"</f>
        <v>8415</v>
      </c>
      <c r="F740" s="1" t="str">
        <f>"016656552"</f>
        <v>016656552</v>
      </c>
      <c r="G740" s="1" t="s">
        <v>9239</v>
      </c>
      <c r="H740" s="1" t="s">
        <v>15</v>
      </c>
      <c r="I740" s="3" t="str">
        <f>"1"</f>
        <v>1</v>
      </c>
      <c r="J740" s="3" t="str">
        <f>"4712"</f>
        <v>4712</v>
      </c>
      <c r="K740" s="2">
        <v>45915</v>
      </c>
      <c r="L740" s="2">
        <v>45921</v>
      </c>
      <c r="M740" s="1" t="s">
        <v>9238</v>
      </c>
      <c r="N740" s="1" t="s">
        <v>4343</v>
      </c>
    </row>
    <row r="741" spans="1:14" x14ac:dyDescent="0.35">
      <c r="A741" s="1" t="s">
        <v>4321</v>
      </c>
      <c r="B741" s="3" t="s">
        <v>2456</v>
      </c>
      <c r="C741" s="1" t="s">
        <v>2457</v>
      </c>
      <c r="D741" s="1" t="s">
        <v>9237</v>
      </c>
      <c r="E741" s="1" t="str">
        <f>"1240"</f>
        <v>1240</v>
      </c>
      <c r="F741" s="1" t="str">
        <f>"016628073"</f>
        <v>016628073</v>
      </c>
      <c r="G741" s="1" t="s">
        <v>269</v>
      </c>
      <c r="H741" s="1" t="s">
        <v>15</v>
      </c>
      <c r="I741" s="3" t="str">
        <f>"3"</f>
        <v>3</v>
      </c>
      <c r="J741" s="3">
        <v>574.82000000000005</v>
      </c>
      <c r="K741" s="2">
        <v>45913</v>
      </c>
      <c r="L741" s="2">
        <v>45921</v>
      </c>
      <c r="M741" s="1" t="s">
        <v>9235</v>
      </c>
      <c r="N741" s="1" t="s">
        <v>4343</v>
      </c>
    </row>
    <row r="742" spans="1:14" x14ac:dyDescent="0.35">
      <c r="A742" s="1" t="s">
        <v>4321</v>
      </c>
      <c r="B742" s="3" t="s">
        <v>2456</v>
      </c>
      <c r="C742" s="1" t="s">
        <v>2457</v>
      </c>
      <c r="D742" s="1" t="s">
        <v>9236</v>
      </c>
      <c r="E742" s="1" t="str">
        <f>"1240"</f>
        <v>1240</v>
      </c>
      <c r="F742" s="1" t="str">
        <f>"016628073"</f>
        <v>016628073</v>
      </c>
      <c r="G742" s="1" t="s">
        <v>269</v>
      </c>
      <c r="H742" s="1" t="s">
        <v>15</v>
      </c>
      <c r="I742" s="3" t="str">
        <f>"2"</f>
        <v>2</v>
      </c>
      <c r="J742" s="3">
        <v>574.82000000000005</v>
      </c>
      <c r="K742" s="2">
        <v>45913</v>
      </c>
      <c r="L742" s="2">
        <v>45921</v>
      </c>
      <c r="M742" s="1" t="s">
        <v>9235</v>
      </c>
      <c r="N742" s="1" t="s">
        <v>4343</v>
      </c>
    </row>
    <row r="743" spans="1:14" x14ac:dyDescent="0.35">
      <c r="A743" s="1" t="s">
        <v>4321</v>
      </c>
      <c r="B743" s="3" t="s">
        <v>3879</v>
      </c>
      <c r="C743" s="1" t="s">
        <v>5072</v>
      </c>
      <c r="D743" s="1" t="s">
        <v>9234</v>
      </c>
      <c r="E743" s="1" t="str">
        <f>"6260"</f>
        <v>6260</v>
      </c>
      <c r="F743" s="1" t="str">
        <f>"012094434"</f>
        <v>012094434</v>
      </c>
      <c r="G743" s="1" t="s">
        <v>657</v>
      </c>
      <c r="H743" s="1" t="s">
        <v>290</v>
      </c>
      <c r="I743" s="3" t="str">
        <f>"43"</f>
        <v>43</v>
      </c>
      <c r="J743" s="3">
        <v>63.7</v>
      </c>
      <c r="K743" s="2">
        <v>45920</v>
      </c>
      <c r="L743" s="2">
        <v>45920</v>
      </c>
      <c r="M743" s="1" t="s">
        <v>9233</v>
      </c>
      <c r="N743" s="1" t="s">
        <v>4343</v>
      </c>
    </row>
    <row r="744" spans="1:14" x14ac:dyDescent="0.35">
      <c r="A744" s="1" t="s">
        <v>4321</v>
      </c>
      <c r="B744" s="3" t="s">
        <v>1848</v>
      </c>
      <c r="C744" s="1" t="s">
        <v>1849</v>
      </c>
      <c r="D744" s="1" t="s">
        <v>9232</v>
      </c>
      <c r="E744" s="1" t="str">
        <f>"6910"</f>
        <v>6910</v>
      </c>
      <c r="F744" s="1" t="s">
        <v>3926</v>
      </c>
      <c r="G744" s="1" t="s">
        <v>3927</v>
      </c>
      <c r="H744" s="1" t="s">
        <v>15</v>
      </c>
      <c r="I744" s="3" t="str">
        <f>"7"</f>
        <v>7</v>
      </c>
      <c r="J744" s="3" t="str">
        <f>"81"</f>
        <v>81</v>
      </c>
      <c r="K744" s="2">
        <v>45919</v>
      </c>
      <c r="L744" s="2">
        <v>45920</v>
      </c>
      <c r="M744" s="1" t="s">
        <v>9231</v>
      </c>
      <c r="N744" s="1" t="s">
        <v>4343</v>
      </c>
    </row>
    <row r="745" spans="1:14" x14ac:dyDescent="0.35">
      <c r="A745" s="1" t="s">
        <v>4321</v>
      </c>
      <c r="B745" s="3" t="s">
        <v>2248</v>
      </c>
      <c r="C745" s="1" t="s">
        <v>2326</v>
      </c>
      <c r="D745" s="1" t="s">
        <v>9230</v>
      </c>
      <c r="E745" s="1" t="str">
        <f>"2360"</f>
        <v>2360</v>
      </c>
      <c r="F745" s="1" t="str">
        <f>"016629081"</f>
        <v>016629081</v>
      </c>
      <c r="G745" s="1" t="s">
        <v>14</v>
      </c>
      <c r="H745" s="1" t="s">
        <v>15</v>
      </c>
      <c r="I745" s="3" t="str">
        <f>"1"</f>
        <v>1</v>
      </c>
      <c r="J745" s="3" t="str">
        <f>"200000"</f>
        <v>200000</v>
      </c>
      <c r="K745" s="2">
        <v>45919</v>
      </c>
      <c r="L745" s="2">
        <v>45920</v>
      </c>
      <c r="M745" s="1" t="s">
        <v>9229</v>
      </c>
      <c r="N745" s="1" t="s">
        <v>9228</v>
      </c>
    </row>
    <row r="746" spans="1:14" x14ac:dyDescent="0.35">
      <c r="A746" s="1" t="s">
        <v>4321</v>
      </c>
      <c r="B746" s="3" t="s">
        <v>2248</v>
      </c>
      <c r="C746" s="1" t="s">
        <v>2414</v>
      </c>
      <c r="D746" s="1" t="s">
        <v>9227</v>
      </c>
      <c r="E746" s="1" t="str">
        <f>"4240"</f>
        <v>4240</v>
      </c>
      <c r="F746" s="1" t="str">
        <f>"015700319"</f>
        <v>015700319</v>
      </c>
      <c r="G746" s="1" t="s">
        <v>830</v>
      </c>
      <c r="H746" s="1" t="s">
        <v>15</v>
      </c>
      <c r="I746" s="3" t="str">
        <f>"20"</f>
        <v>20</v>
      </c>
      <c r="J746" s="3">
        <v>39.07</v>
      </c>
      <c r="K746" s="2">
        <v>45918</v>
      </c>
      <c r="L746" s="2">
        <v>45920</v>
      </c>
      <c r="M746" s="1" t="s">
        <v>9226</v>
      </c>
      <c r="N746" s="1" t="s">
        <v>9225</v>
      </c>
    </row>
    <row r="747" spans="1:14" x14ac:dyDescent="0.35">
      <c r="A747" s="1" t="s">
        <v>4321</v>
      </c>
      <c r="B747" s="3" t="s">
        <v>2248</v>
      </c>
      <c r="C747" s="1" t="s">
        <v>2414</v>
      </c>
      <c r="D747" s="1" t="s">
        <v>9224</v>
      </c>
      <c r="E747" s="1" t="str">
        <f>"2360"</f>
        <v>2360</v>
      </c>
      <c r="F747" s="1" t="str">
        <f>"016629081"</f>
        <v>016629081</v>
      </c>
      <c r="G747" s="1" t="s">
        <v>14</v>
      </c>
      <c r="H747" s="1" t="s">
        <v>15</v>
      </c>
      <c r="I747" s="3" t="str">
        <f>"1"</f>
        <v>1</v>
      </c>
      <c r="J747" s="3" t="str">
        <f>"200000"</f>
        <v>200000</v>
      </c>
      <c r="K747" s="2">
        <v>45918</v>
      </c>
      <c r="L747" s="2">
        <v>45920</v>
      </c>
      <c r="M747" s="1" t="s">
        <v>7056</v>
      </c>
      <c r="N747" s="1" t="s">
        <v>9223</v>
      </c>
    </row>
    <row r="748" spans="1:14" x14ac:dyDescent="0.35">
      <c r="A748" s="1" t="s">
        <v>4321</v>
      </c>
      <c r="B748" s="3" t="s">
        <v>2248</v>
      </c>
      <c r="C748" s="1" t="s">
        <v>2265</v>
      </c>
      <c r="D748" s="1" t="s">
        <v>9222</v>
      </c>
      <c r="E748" s="1" t="str">
        <f>"4240"</f>
        <v>4240</v>
      </c>
      <c r="F748" s="1" t="str">
        <f>"015700319"</f>
        <v>015700319</v>
      </c>
      <c r="G748" s="1" t="s">
        <v>830</v>
      </c>
      <c r="H748" s="1" t="s">
        <v>15</v>
      </c>
      <c r="I748" s="3" t="str">
        <f>"15"</f>
        <v>15</v>
      </c>
      <c r="J748" s="3">
        <v>39.07</v>
      </c>
      <c r="K748" s="2">
        <v>45915</v>
      </c>
      <c r="L748" s="2">
        <v>45920</v>
      </c>
      <c r="M748" s="1" t="s">
        <v>9221</v>
      </c>
      <c r="N748" s="1" t="s">
        <v>9220</v>
      </c>
    </row>
    <row r="749" spans="1:14" x14ac:dyDescent="0.35">
      <c r="A749" s="1" t="s">
        <v>4321</v>
      </c>
      <c r="B749" s="3" t="s">
        <v>3183</v>
      </c>
      <c r="C749" s="1" t="s">
        <v>3184</v>
      </c>
      <c r="D749" s="1" t="s">
        <v>9219</v>
      </c>
      <c r="E749" s="1" t="str">
        <f>"2330"</f>
        <v>2330</v>
      </c>
      <c r="F749" s="1" t="s">
        <v>70</v>
      </c>
      <c r="G749" s="1" t="s">
        <v>71</v>
      </c>
      <c r="H749" s="1" t="s">
        <v>15</v>
      </c>
      <c r="I749" s="3" t="str">
        <f>"1"</f>
        <v>1</v>
      </c>
      <c r="J749" s="3" t="str">
        <f>"71943"</f>
        <v>71943</v>
      </c>
      <c r="K749" s="2">
        <v>45914</v>
      </c>
      <c r="L749" s="2">
        <v>45920</v>
      </c>
      <c r="M749" s="1" t="s">
        <v>9218</v>
      </c>
      <c r="N749" s="1" t="s">
        <v>9217</v>
      </c>
    </row>
    <row r="750" spans="1:14" x14ac:dyDescent="0.35">
      <c r="A750" s="1" t="s">
        <v>4321</v>
      </c>
      <c r="B750" s="3" t="s">
        <v>3183</v>
      </c>
      <c r="C750" s="1" t="s">
        <v>3435</v>
      </c>
      <c r="D750" s="1" t="s">
        <v>9216</v>
      </c>
      <c r="E750" s="1" t="str">
        <f>"4140"</f>
        <v>4140</v>
      </c>
      <c r="F750" s="1" t="s">
        <v>590</v>
      </c>
      <c r="G750" s="1" t="s">
        <v>591</v>
      </c>
      <c r="H750" s="1" t="s">
        <v>15</v>
      </c>
      <c r="I750" s="3" t="str">
        <f>"1"</f>
        <v>1</v>
      </c>
      <c r="J750" s="3" t="str">
        <f>"469"</f>
        <v>469</v>
      </c>
      <c r="K750" s="2">
        <v>45914</v>
      </c>
      <c r="L750" s="2">
        <v>45920</v>
      </c>
      <c r="M750" s="1" t="s">
        <v>9215</v>
      </c>
      <c r="N750" s="1" t="s">
        <v>9214</v>
      </c>
    </row>
    <row r="751" spans="1:14" x14ac:dyDescent="0.35">
      <c r="A751" s="1" t="s">
        <v>4321</v>
      </c>
      <c r="B751" s="3" t="s">
        <v>4087</v>
      </c>
      <c r="C751" s="1" t="s">
        <v>4143</v>
      </c>
      <c r="D751" s="1" t="s">
        <v>9213</v>
      </c>
      <c r="E751" s="1" t="str">
        <f>"7520"</f>
        <v>7520</v>
      </c>
      <c r="F751" s="1" t="str">
        <f>"013527309"</f>
        <v>013527309</v>
      </c>
      <c r="G751" s="1" t="s">
        <v>4186</v>
      </c>
      <c r="H751" s="1" t="s">
        <v>4183</v>
      </c>
      <c r="I751" s="3" t="str">
        <f>"3"</f>
        <v>3</v>
      </c>
      <c r="J751" s="3">
        <v>18.239999999999998</v>
      </c>
      <c r="K751" s="2">
        <v>45911</v>
      </c>
      <c r="L751" s="2">
        <v>45920</v>
      </c>
      <c r="M751" s="1" t="s">
        <v>4184</v>
      </c>
      <c r="N751" s="1" t="s">
        <v>9212</v>
      </c>
    </row>
    <row r="752" spans="1:14" x14ac:dyDescent="0.35">
      <c r="A752" s="1" t="s">
        <v>4321</v>
      </c>
      <c r="B752" s="3" t="s">
        <v>3183</v>
      </c>
      <c r="C752" s="1" t="s">
        <v>3425</v>
      </c>
      <c r="D752" s="1" t="s">
        <v>9211</v>
      </c>
      <c r="E752" s="1" t="str">
        <f>"3810"</f>
        <v>3810</v>
      </c>
      <c r="F752" s="1" t="s">
        <v>9210</v>
      </c>
      <c r="G752" s="1" t="s">
        <v>9209</v>
      </c>
      <c r="H752" s="1" t="s">
        <v>15</v>
      </c>
      <c r="I752" s="3" t="str">
        <f>"1"</f>
        <v>1</v>
      </c>
      <c r="J752" s="3">
        <v>42526.06</v>
      </c>
      <c r="K752" s="2">
        <v>45909</v>
      </c>
      <c r="L752" s="2">
        <v>45920</v>
      </c>
      <c r="M752" s="1" t="s">
        <v>9208</v>
      </c>
      <c r="N752" s="1" t="s">
        <v>9207</v>
      </c>
    </row>
    <row r="753" spans="1:14" x14ac:dyDescent="0.35">
      <c r="A753" s="1" t="s">
        <v>4321</v>
      </c>
      <c r="B753" s="3" t="s">
        <v>3183</v>
      </c>
      <c r="C753" s="1" t="s">
        <v>3435</v>
      </c>
      <c r="D753" s="1" t="s">
        <v>9206</v>
      </c>
      <c r="E753" s="1" t="str">
        <f>"7125"</f>
        <v>7125</v>
      </c>
      <c r="F753" s="1" t="s">
        <v>9205</v>
      </c>
      <c r="G753" s="1" t="s">
        <v>9204</v>
      </c>
      <c r="H753" s="1" t="s">
        <v>15</v>
      </c>
      <c r="I753" s="3" t="str">
        <f>"1"</f>
        <v>1</v>
      </c>
      <c r="J753" s="3" t="str">
        <f>"300"</f>
        <v>300</v>
      </c>
      <c r="K753" s="2">
        <v>45909</v>
      </c>
      <c r="L753" s="2">
        <v>45920</v>
      </c>
      <c r="M753" s="1" t="s">
        <v>9203</v>
      </c>
      <c r="N753" s="1" t="s">
        <v>9202</v>
      </c>
    </row>
    <row r="754" spans="1:14" x14ac:dyDescent="0.35">
      <c r="A754" s="1" t="s">
        <v>4321</v>
      </c>
      <c r="B754" s="3" t="s">
        <v>2720</v>
      </c>
      <c r="C754" s="1" t="s">
        <v>2757</v>
      </c>
      <c r="D754" s="1" t="s">
        <v>9201</v>
      </c>
      <c r="E754" s="1" t="str">
        <f>"8465"</f>
        <v>8465</v>
      </c>
      <c r="F754" s="1" t="str">
        <f>"016046235"</f>
        <v>016046235</v>
      </c>
      <c r="G754" s="1" t="s">
        <v>2210</v>
      </c>
      <c r="H754" s="1" t="s">
        <v>19</v>
      </c>
      <c r="I754" s="3" t="str">
        <f>"1"</f>
        <v>1</v>
      </c>
      <c r="J754" s="3">
        <v>4965.7299999999996</v>
      </c>
      <c r="K754" s="2">
        <v>45908</v>
      </c>
      <c r="L754" s="2">
        <v>45920</v>
      </c>
      <c r="M754" s="1" t="s">
        <v>9200</v>
      </c>
      <c r="N754" s="1" t="s">
        <v>9199</v>
      </c>
    </row>
    <row r="755" spans="1:14" x14ac:dyDescent="0.35">
      <c r="A755" s="1" t="s">
        <v>4321</v>
      </c>
      <c r="B755" s="3" t="s">
        <v>3183</v>
      </c>
      <c r="C755" s="1" t="s">
        <v>3364</v>
      </c>
      <c r="D755" s="1" t="s">
        <v>9198</v>
      </c>
      <c r="E755" s="1" t="str">
        <f>"5965"</f>
        <v>5965</v>
      </c>
      <c r="F755" s="1" t="str">
        <f>"226296584"</f>
        <v>226296584</v>
      </c>
      <c r="G755" s="1" t="s">
        <v>1389</v>
      </c>
      <c r="H755" s="1" t="s">
        <v>15</v>
      </c>
      <c r="I755" s="3" t="str">
        <f>"3"</f>
        <v>3</v>
      </c>
      <c r="J755" s="3">
        <v>1567.84</v>
      </c>
      <c r="K755" s="2">
        <v>45908</v>
      </c>
      <c r="L755" s="2">
        <v>45920</v>
      </c>
      <c r="M755" s="1" t="s">
        <v>9197</v>
      </c>
      <c r="N755" s="1" t="s">
        <v>9196</v>
      </c>
    </row>
    <row r="756" spans="1:14" x14ac:dyDescent="0.35">
      <c r="A756" s="1" t="s">
        <v>4321</v>
      </c>
      <c r="B756" s="3" t="s">
        <v>4087</v>
      </c>
      <c r="C756" s="1" t="s">
        <v>4143</v>
      </c>
      <c r="D756" s="1" t="s">
        <v>9195</v>
      </c>
      <c r="E756" s="1" t="str">
        <f>"4240"</f>
        <v>4240</v>
      </c>
      <c r="F756" s="1" t="str">
        <f>"016305999"</f>
        <v>016305999</v>
      </c>
      <c r="G756" s="1" t="s">
        <v>211</v>
      </c>
      <c r="H756" s="1" t="s">
        <v>15</v>
      </c>
      <c r="I756" s="3" t="str">
        <f>"6"</f>
        <v>6</v>
      </c>
      <c r="J756" s="3">
        <v>135.01</v>
      </c>
      <c r="K756" s="2">
        <v>45908</v>
      </c>
      <c r="L756" s="2">
        <v>45920</v>
      </c>
      <c r="M756" s="1" t="s">
        <v>9194</v>
      </c>
      <c r="N756" s="1" t="s">
        <v>9193</v>
      </c>
    </row>
    <row r="757" spans="1:14" x14ac:dyDescent="0.35">
      <c r="A757" s="1" t="s">
        <v>4321</v>
      </c>
      <c r="B757" s="3" t="s">
        <v>806</v>
      </c>
      <c r="C757" s="1" t="s">
        <v>866</v>
      </c>
      <c r="D757" s="1" t="s">
        <v>9192</v>
      </c>
      <c r="E757" s="1" t="str">
        <f>"8465"</f>
        <v>8465</v>
      </c>
      <c r="F757" s="1" t="str">
        <f>"016330972"</f>
        <v>016330972</v>
      </c>
      <c r="G757" s="1" t="s">
        <v>6877</v>
      </c>
      <c r="H757" s="1" t="s">
        <v>15</v>
      </c>
      <c r="I757" s="3" t="str">
        <f>"10"</f>
        <v>10</v>
      </c>
      <c r="J757" s="3">
        <v>254.47</v>
      </c>
      <c r="K757" s="2">
        <v>45907</v>
      </c>
      <c r="L757" s="2">
        <v>45920</v>
      </c>
      <c r="M757" s="1" t="s">
        <v>9191</v>
      </c>
      <c r="N757" s="1" t="s">
        <v>4343</v>
      </c>
    </row>
    <row r="758" spans="1:14" x14ac:dyDescent="0.35">
      <c r="A758" s="1" t="s">
        <v>4321</v>
      </c>
      <c r="B758" s="3" t="s">
        <v>2494</v>
      </c>
      <c r="C758" s="1" t="s">
        <v>2521</v>
      </c>
      <c r="D758" s="1" t="s">
        <v>9190</v>
      </c>
      <c r="E758" s="1" t="str">
        <f>"5855"</f>
        <v>5855</v>
      </c>
      <c r="F758" s="1" t="str">
        <f>"015665301"</f>
        <v>015665301</v>
      </c>
      <c r="G758" s="1" t="s">
        <v>1904</v>
      </c>
      <c r="H758" s="1" t="s">
        <v>15</v>
      </c>
      <c r="I758" s="3" t="str">
        <f>"21"</f>
        <v>21</v>
      </c>
      <c r="J758" s="3">
        <v>445.26</v>
      </c>
      <c r="K758" s="2">
        <v>45907</v>
      </c>
      <c r="L758" s="2">
        <v>45920</v>
      </c>
      <c r="M758" s="1" t="s">
        <v>9189</v>
      </c>
      <c r="N758" s="1" t="s">
        <v>9188</v>
      </c>
    </row>
    <row r="759" spans="1:14" x14ac:dyDescent="0.35">
      <c r="A759" s="1" t="s">
        <v>4321</v>
      </c>
      <c r="B759" s="3" t="s">
        <v>5157</v>
      </c>
      <c r="C759" s="1" t="s">
        <v>5156</v>
      </c>
      <c r="D759" s="1" t="s">
        <v>9187</v>
      </c>
      <c r="E759" s="1" t="str">
        <f>"4240"</f>
        <v>4240</v>
      </c>
      <c r="F759" s="1" t="str">
        <f>"016305999"</f>
        <v>016305999</v>
      </c>
      <c r="G759" s="1" t="s">
        <v>211</v>
      </c>
      <c r="H759" s="1" t="s">
        <v>15</v>
      </c>
      <c r="I759" s="3" t="str">
        <f>"10"</f>
        <v>10</v>
      </c>
      <c r="J759" s="3">
        <v>135.01</v>
      </c>
      <c r="K759" s="2">
        <v>45907</v>
      </c>
      <c r="L759" s="2">
        <v>45920</v>
      </c>
      <c r="M759" s="1" t="s">
        <v>9186</v>
      </c>
      <c r="N759" s="1" t="s">
        <v>9185</v>
      </c>
    </row>
    <row r="760" spans="1:14" x14ac:dyDescent="0.35">
      <c r="A760" s="1" t="s">
        <v>4321</v>
      </c>
      <c r="B760" s="3" t="s">
        <v>3513</v>
      </c>
      <c r="C760" s="1" t="s">
        <v>3514</v>
      </c>
      <c r="D760" s="1" t="s">
        <v>9184</v>
      </c>
      <c r="E760" s="1" t="str">
        <f>"2330"</f>
        <v>2330</v>
      </c>
      <c r="F760" s="1" t="s">
        <v>70</v>
      </c>
      <c r="G760" s="1" t="s">
        <v>71</v>
      </c>
      <c r="H760" s="1" t="s">
        <v>15</v>
      </c>
      <c r="I760" s="3" t="str">
        <f>"1"</f>
        <v>1</v>
      </c>
      <c r="J760" s="3" t="str">
        <f>"750"</f>
        <v>750</v>
      </c>
      <c r="K760" s="2">
        <v>45906</v>
      </c>
      <c r="L760" s="2">
        <v>45920</v>
      </c>
      <c r="M760" s="1" t="s">
        <v>9183</v>
      </c>
      <c r="N760" s="1" t="s">
        <v>9182</v>
      </c>
    </row>
    <row r="761" spans="1:14" x14ac:dyDescent="0.35">
      <c r="A761" s="1" t="s">
        <v>4321</v>
      </c>
      <c r="B761" s="3" t="s">
        <v>3513</v>
      </c>
      <c r="C761" s="1" t="s">
        <v>3514</v>
      </c>
      <c r="D761" s="1" t="s">
        <v>9181</v>
      </c>
      <c r="E761" s="1" t="str">
        <f>"2310"</f>
        <v>2310</v>
      </c>
      <c r="F761" s="1" t="s">
        <v>413</v>
      </c>
      <c r="G761" s="1" t="s">
        <v>414</v>
      </c>
      <c r="H761" s="1" t="s">
        <v>15</v>
      </c>
      <c r="I761" s="3" t="str">
        <f>"1"</f>
        <v>1</v>
      </c>
      <c r="J761" s="3">
        <v>22505.46</v>
      </c>
      <c r="K761" s="2">
        <v>45906</v>
      </c>
      <c r="L761" s="2">
        <v>45920</v>
      </c>
      <c r="M761" s="1" t="s">
        <v>9180</v>
      </c>
      <c r="N761" s="1" t="s">
        <v>9179</v>
      </c>
    </row>
    <row r="762" spans="1:14" x14ac:dyDescent="0.35">
      <c r="A762" s="1" t="s">
        <v>4321</v>
      </c>
      <c r="B762" s="3" t="s">
        <v>806</v>
      </c>
      <c r="C762" s="1" t="s">
        <v>866</v>
      </c>
      <c r="D762" s="1" t="s">
        <v>9178</v>
      </c>
      <c r="E762" s="1" t="str">
        <f>"5855"</f>
        <v>5855</v>
      </c>
      <c r="F762" s="1" t="str">
        <f>"015665301"</f>
        <v>015665301</v>
      </c>
      <c r="G762" s="1" t="s">
        <v>1904</v>
      </c>
      <c r="H762" s="1" t="s">
        <v>15</v>
      </c>
      <c r="I762" s="3" t="str">
        <f>"21"</f>
        <v>21</v>
      </c>
      <c r="J762" s="3">
        <v>445.26</v>
      </c>
      <c r="K762" s="2">
        <v>45906</v>
      </c>
      <c r="L762" s="2">
        <v>45920</v>
      </c>
      <c r="M762" s="1" t="s">
        <v>9177</v>
      </c>
      <c r="N762" s="1" t="s">
        <v>4343</v>
      </c>
    </row>
    <row r="763" spans="1:14" x14ac:dyDescent="0.35">
      <c r="A763" s="1" t="s">
        <v>4321</v>
      </c>
      <c r="B763" s="3" t="s">
        <v>806</v>
      </c>
      <c r="C763" s="1" t="s">
        <v>866</v>
      </c>
      <c r="D763" s="1" t="s">
        <v>9176</v>
      </c>
      <c r="E763" s="1" t="str">
        <f>"5965"</f>
        <v>5965</v>
      </c>
      <c r="F763" s="1" t="str">
        <f>"226296584"</f>
        <v>226296584</v>
      </c>
      <c r="G763" s="1" t="s">
        <v>1389</v>
      </c>
      <c r="H763" s="1" t="s">
        <v>15</v>
      </c>
      <c r="I763" s="3" t="str">
        <f>"3"</f>
        <v>3</v>
      </c>
      <c r="J763" s="3">
        <v>1567.84</v>
      </c>
      <c r="K763" s="2">
        <v>45906</v>
      </c>
      <c r="L763" s="2">
        <v>45920</v>
      </c>
      <c r="M763" s="1" t="s">
        <v>9174</v>
      </c>
      <c r="N763" s="1" t="s">
        <v>4343</v>
      </c>
    </row>
    <row r="764" spans="1:14" x14ac:dyDescent="0.35">
      <c r="A764" s="1" t="s">
        <v>4321</v>
      </c>
      <c r="B764" s="3" t="s">
        <v>806</v>
      </c>
      <c r="C764" s="1" t="s">
        <v>866</v>
      </c>
      <c r="D764" s="1" t="s">
        <v>9175</v>
      </c>
      <c r="E764" s="1" t="str">
        <f>"5965"</f>
        <v>5965</v>
      </c>
      <c r="F764" s="1" t="str">
        <f>"226296584"</f>
        <v>226296584</v>
      </c>
      <c r="G764" s="1" t="s">
        <v>1389</v>
      </c>
      <c r="H764" s="1" t="s">
        <v>15</v>
      </c>
      <c r="I764" s="3" t="str">
        <f>"3"</f>
        <v>3</v>
      </c>
      <c r="J764" s="3">
        <v>1567.84</v>
      </c>
      <c r="K764" s="2">
        <v>45906</v>
      </c>
      <c r="L764" s="2">
        <v>45920</v>
      </c>
      <c r="M764" s="1" t="s">
        <v>9174</v>
      </c>
      <c r="N764" s="1" t="s">
        <v>4343</v>
      </c>
    </row>
    <row r="765" spans="1:14" x14ac:dyDescent="0.35">
      <c r="A765" s="1" t="s">
        <v>4321</v>
      </c>
      <c r="B765" s="3" t="s">
        <v>2720</v>
      </c>
      <c r="C765" s="1" t="s">
        <v>2745</v>
      </c>
      <c r="D765" s="1" t="s">
        <v>9173</v>
      </c>
      <c r="E765" s="1" t="str">
        <f>"5855"</f>
        <v>5855</v>
      </c>
      <c r="F765" s="1" t="str">
        <f>"015665301"</f>
        <v>015665301</v>
      </c>
      <c r="G765" s="1" t="s">
        <v>1904</v>
      </c>
      <c r="H765" s="1" t="s">
        <v>15</v>
      </c>
      <c r="I765" s="3" t="str">
        <f>"21"</f>
        <v>21</v>
      </c>
      <c r="J765" s="3">
        <v>445.26</v>
      </c>
      <c r="K765" s="2">
        <v>45906</v>
      </c>
      <c r="L765" s="2">
        <v>45920</v>
      </c>
      <c r="M765" s="1" t="s">
        <v>9172</v>
      </c>
      <c r="N765" s="1" t="s">
        <v>9171</v>
      </c>
    </row>
    <row r="766" spans="1:14" x14ac:dyDescent="0.35">
      <c r="A766" s="1" t="s">
        <v>4321</v>
      </c>
      <c r="B766" s="3" t="s">
        <v>2720</v>
      </c>
      <c r="C766" s="1" t="s">
        <v>2770</v>
      </c>
      <c r="D766" s="1" t="s">
        <v>9170</v>
      </c>
      <c r="E766" s="1" t="str">
        <f>"5855"</f>
        <v>5855</v>
      </c>
      <c r="F766" s="1" t="str">
        <f>"015665301"</f>
        <v>015665301</v>
      </c>
      <c r="G766" s="1" t="s">
        <v>1904</v>
      </c>
      <c r="H766" s="1" t="s">
        <v>15</v>
      </c>
      <c r="I766" s="3" t="str">
        <f>"21"</f>
        <v>21</v>
      </c>
      <c r="J766" s="3">
        <v>445.26</v>
      </c>
      <c r="K766" s="2">
        <v>45906</v>
      </c>
      <c r="L766" s="2">
        <v>45920</v>
      </c>
      <c r="M766" s="1" t="s">
        <v>9169</v>
      </c>
      <c r="N766" s="1" t="s">
        <v>9168</v>
      </c>
    </row>
    <row r="767" spans="1:14" x14ac:dyDescent="0.35">
      <c r="A767" s="1" t="s">
        <v>4321</v>
      </c>
      <c r="B767" s="3" t="s">
        <v>3183</v>
      </c>
      <c r="C767" s="1" t="s">
        <v>3241</v>
      </c>
      <c r="D767" s="1" t="s">
        <v>9167</v>
      </c>
      <c r="E767" s="1" t="str">
        <f>"3930"</f>
        <v>3930</v>
      </c>
      <c r="F767" s="1" t="s">
        <v>150</v>
      </c>
      <c r="G767" s="1" t="s">
        <v>151</v>
      </c>
      <c r="H767" s="1" t="s">
        <v>15</v>
      </c>
      <c r="I767" s="3" t="str">
        <f>"1"</f>
        <v>1</v>
      </c>
      <c r="J767" s="3" t="str">
        <f>"5000"</f>
        <v>5000</v>
      </c>
      <c r="K767" s="2">
        <v>45906</v>
      </c>
      <c r="L767" s="2">
        <v>45920</v>
      </c>
      <c r="M767" s="1" t="s">
        <v>9166</v>
      </c>
      <c r="N767" s="1" t="s">
        <v>9165</v>
      </c>
    </row>
    <row r="768" spans="1:14" x14ac:dyDescent="0.35">
      <c r="A768" s="1" t="s">
        <v>4321</v>
      </c>
      <c r="B768" s="3" t="s">
        <v>3105</v>
      </c>
      <c r="C768" s="1" t="s">
        <v>4877</v>
      </c>
      <c r="D768" s="1" t="s">
        <v>9164</v>
      </c>
      <c r="E768" s="1" t="str">
        <f>"2310"</f>
        <v>2310</v>
      </c>
      <c r="F768" s="1" t="str">
        <f>"016544105"</f>
        <v>016544105</v>
      </c>
      <c r="G768" s="1" t="s">
        <v>3156</v>
      </c>
      <c r="H768" s="1" t="s">
        <v>15</v>
      </c>
      <c r="I768" s="3" t="str">
        <f>"1"</f>
        <v>1</v>
      </c>
      <c r="J768" s="3">
        <v>31905.14</v>
      </c>
      <c r="K768" s="2">
        <v>45906</v>
      </c>
      <c r="L768" s="2">
        <v>45920</v>
      </c>
      <c r="M768" s="1" t="s">
        <v>9163</v>
      </c>
      <c r="N768" s="1" t="s">
        <v>9162</v>
      </c>
    </row>
    <row r="769" spans="1:14" x14ac:dyDescent="0.35">
      <c r="A769" s="1" t="s">
        <v>4321</v>
      </c>
      <c r="B769" s="3" t="s">
        <v>1857</v>
      </c>
      <c r="C769" s="1" t="s">
        <v>1929</v>
      </c>
      <c r="D769" s="1" t="s">
        <v>9161</v>
      </c>
      <c r="E769" s="1" t="str">
        <f>"5855"</f>
        <v>5855</v>
      </c>
      <c r="F769" s="1" t="str">
        <f>"015665301"</f>
        <v>015665301</v>
      </c>
      <c r="G769" s="1" t="s">
        <v>1904</v>
      </c>
      <c r="H769" s="1" t="s">
        <v>15</v>
      </c>
      <c r="I769" s="3" t="str">
        <f>"8"</f>
        <v>8</v>
      </c>
      <c r="J769" s="3">
        <v>445.26</v>
      </c>
      <c r="K769" s="2">
        <v>45906</v>
      </c>
      <c r="L769" s="2">
        <v>45920</v>
      </c>
      <c r="M769" s="1" t="s">
        <v>9160</v>
      </c>
      <c r="N769" s="1" t="s">
        <v>9159</v>
      </c>
    </row>
    <row r="770" spans="1:14" x14ac:dyDescent="0.35">
      <c r="A770" s="1" t="s">
        <v>4321</v>
      </c>
      <c r="B770" s="3" t="s">
        <v>2248</v>
      </c>
      <c r="C770" s="1" t="s">
        <v>2375</v>
      </c>
      <c r="D770" s="1" t="s">
        <v>9158</v>
      </c>
      <c r="E770" s="1" t="str">
        <f>"2310"</f>
        <v>2310</v>
      </c>
      <c r="F770" s="1" t="str">
        <f>"016544105"</f>
        <v>016544105</v>
      </c>
      <c r="G770" s="1" t="s">
        <v>3156</v>
      </c>
      <c r="H770" s="1" t="s">
        <v>15</v>
      </c>
      <c r="I770" s="3" t="str">
        <f>"1"</f>
        <v>1</v>
      </c>
      <c r="J770" s="3">
        <v>31905.14</v>
      </c>
      <c r="K770" s="2">
        <v>45906</v>
      </c>
      <c r="L770" s="2">
        <v>45920</v>
      </c>
      <c r="M770" s="1" t="s">
        <v>9157</v>
      </c>
      <c r="N770" s="1" t="s">
        <v>9156</v>
      </c>
    </row>
    <row r="771" spans="1:14" x14ac:dyDescent="0.35">
      <c r="A771" s="1" t="s">
        <v>4321</v>
      </c>
      <c r="B771" s="3" t="s">
        <v>3183</v>
      </c>
      <c r="C771" s="1" t="s">
        <v>8292</v>
      </c>
      <c r="D771" s="1" t="s">
        <v>9155</v>
      </c>
      <c r="E771" s="1" t="str">
        <f>"2310"</f>
        <v>2310</v>
      </c>
      <c r="F771" s="1" t="str">
        <f>"016544105"</f>
        <v>016544105</v>
      </c>
      <c r="G771" s="1" t="s">
        <v>3156</v>
      </c>
      <c r="H771" s="1" t="s">
        <v>15</v>
      </c>
      <c r="I771" s="3" t="str">
        <f>"1"</f>
        <v>1</v>
      </c>
      <c r="J771" s="3">
        <v>31905.14</v>
      </c>
      <c r="K771" s="2">
        <v>45906</v>
      </c>
      <c r="L771" s="2">
        <v>45920</v>
      </c>
      <c r="M771" s="1" t="s">
        <v>8290</v>
      </c>
      <c r="N771" s="1" t="s">
        <v>9154</v>
      </c>
    </row>
    <row r="772" spans="1:14" x14ac:dyDescent="0.35">
      <c r="A772" s="1" t="s">
        <v>4321</v>
      </c>
      <c r="B772" s="3" t="s">
        <v>3885</v>
      </c>
      <c r="C772" s="1" t="s">
        <v>4022</v>
      </c>
      <c r="D772" s="1" t="s">
        <v>9153</v>
      </c>
      <c r="E772" s="1" t="str">
        <f>"2310"</f>
        <v>2310</v>
      </c>
      <c r="F772" s="1" t="str">
        <f>"016544105"</f>
        <v>016544105</v>
      </c>
      <c r="G772" s="1" t="s">
        <v>3156</v>
      </c>
      <c r="H772" s="1" t="s">
        <v>15</v>
      </c>
      <c r="I772" s="3" t="str">
        <f>"1"</f>
        <v>1</v>
      </c>
      <c r="J772" s="3">
        <v>31905.14</v>
      </c>
      <c r="K772" s="2">
        <v>45906</v>
      </c>
      <c r="L772" s="2">
        <v>45920</v>
      </c>
      <c r="M772" s="1" t="s">
        <v>9152</v>
      </c>
      <c r="N772" s="1" t="s">
        <v>9151</v>
      </c>
    </row>
    <row r="773" spans="1:14" x14ac:dyDescent="0.35">
      <c r="A773" s="1" t="s">
        <v>4321</v>
      </c>
      <c r="B773" s="3" t="s">
        <v>2987</v>
      </c>
      <c r="C773" s="1" t="s">
        <v>7139</v>
      </c>
      <c r="D773" s="1" t="s">
        <v>9150</v>
      </c>
      <c r="E773" s="1" t="str">
        <f>"7830"</f>
        <v>7830</v>
      </c>
      <c r="F773" s="1" t="s">
        <v>89</v>
      </c>
      <c r="G773" s="1" t="s">
        <v>90</v>
      </c>
      <c r="H773" s="1" t="s">
        <v>15</v>
      </c>
      <c r="I773" s="3" t="str">
        <f>"1"</f>
        <v>1</v>
      </c>
      <c r="J773" s="3" t="str">
        <f>"1000"</f>
        <v>1000</v>
      </c>
      <c r="K773" s="2">
        <v>45887</v>
      </c>
      <c r="L773" s="2">
        <v>45920</v>
      </c>
      <c r="M773" s="1" t="s">
        <v>7137</v>
      </c>
      <c r="N773" s="1" t="s">
        <v>4343</v>
      </c>
    </row>
    <row r="774" spans="1:14" x14ac:dyDescent="0.35">
      <c r="A774" s="1" t="s">
        <v>4321</v>
      </c>
      <c r="B774" s="3" t="s">
        <v>2145</v>
      </c>
      <c r="C774" s="1" t="s">
        <v>9149</v>
      </c>
      <c r="D774" s="1" t="s">
        <v>9148</v>
      </c>
      <c r="E774" s="1" t="str">
        <f>"6115"</f>
        <v>6115</v>
      </c>
      <c r="F774" s="1" t="str">
        <f>"016122549"</f>
        <v>016122549</v>
      </c>
      <c r="G774" s="1" t="s">
        <v>1392</v>
      </c>
      <c r="H774" s="1" t="s">
        <v>15</v>
      </c>
      <c r="I774" s="3" t="str">
        <f>"3"</f>
        <v>3</v>
      </c>
      <c r="J774" s="3" t="str">
        <f>"7566"</f>
        <v>7566</v>
      </c>
      <c r="K774" s="2">
        <v>45919</v>
      </c>
      <c r="L774" s="2">
        <v>45919</v>
      </c>
      <c r="M774" s="1" t="s">
        <v>9147</v>
      </c>
      <c r="N774" s="1" t="s">
        <v>4387</v>
      </c>
    </row>
    <row r="775" spans="1:14" x14ac:dyDescent="0.35">
      <c r="A775" s="1" t="s">
        <v>4321</v>
      </c>
      <c r="B775" s="3" t="s">
        <v>806</v>
      </c>
      <c r="C775" s="1" t="s">
        <v>859</v>
      </c>
      <c r="D775" s="1" t="s">
        <v>9146</v>
      </c>
      <c r="E775" s="1" t="str">
        <f>"5140"</f>
        <v>5140</v>
      </c>
      <c r="F775" s="1" t="s">
        <v>9145</v>
      </c>
      <c r="G775" s="1" t="s">
        <v>9144</v>
      </c>
      <c r="H775" s="1" t="s">
        <v>15</v>
      </c>
      <c r="I775" s="3" t="str">
        <f>"1"</f>
        <v>1</v>
      </c>
      <c r="J775" s="3">
        <v>2933.36</v>
      </c>
      <c r="K775" s="2">
        <v>45917</v>
      </c>
      <c r="L775" s="2">
        <v>45919</v>
      </c>
      <c r="M775" s="1" t="s">
        <v>9143</v>
      </c>
      <c r="N775" s="1" t="s">
        <v>9142</v>
      </c>
    </row>
    <row r="776" spans="1:14" x14ac:dyDescent="0.35">
      <c r="A776" s="1" t="s">
        <v>4321</v>
      </c>
      <c r="B776" s="3" t="s">
        <v>1437</v>
      </c>
      <c r="C776" s="1" t="s">
        <v>9141</v>
      </c>
      <c r="D776" s="1" t="s">
        <v>9140</v>
      </c>
      <c r="E776" s="1" t="str">
        <f>"7025"</f>
        <v>7025</v>
      </c>
      <c r="F776" s="1" t="s">
        <v>3480</v>
      </c>
      <c r="G776" s="1" t="s">
        <v>3481</v>
      </c>
      <c r="H776" s="1" t="s">
        <v>15</v>
      </c>
      <c r="I776" s="3" t="str">
        <f>"6"</f>
        <v>6</v>
      </c>
      <c r="J776" s="3" t="str">
        <f>"325"</f>
        <v>325</v>
      </c>
      <c r="K776" s="2">
        <v>45917</v>
      </c>
      <c r="L776" s="2">
        <v>45919</v>
      </c>
      <c r="M776" s="1" t="s">
        <v>9139</v>
      </c>
      <c r="N776" s="1" t="s">
        <v>9138</v>
      </c>
    </row>
    <row r="777" spans="1:14" x14ac:dyDescent="0.35">
      <c r="A777" s="1" t="s">
        <v>4321</v>
      </c>
      <c r="B777" s="3" t="s">
        <v>4087</v>
      </c>
      <c r="C777" s="1" t="s">
        <v>4143</v>
      </c>
      <c r="D777" s="1" t="s">
        <v>9137</v>
      </c>
      <c r="E777" s="1" t="str">
        <f>"7530"</f>
        <v>7530</v>
      </c>
      <c r="F777" s="1" t="str">
        <f>"011167867"</f>
        <v>011167867</v>
      </c>
      <c r="G777" s="1" t="s">
        <v>6697</v>
      </c>
      <c r="H777" s="1" t="s">
        <v>4183</v>
      </c>
      <c r="I777" s="3" t="str">
        <f>"2"</f>
        <v>2</v>
      </c>
      <c r="J777" s="3">
        <v>16.75</v>
      </c>
      <c r="K777" s="2">
        <v>45914</v>
      </c>
      <c r="L777" s="2">
        <v>45919</v>
      </c>
      <c r="M777" s="1" t="s">
        <v>9066</v>
      </c>
      <c r="N777" s="1" t="s">
        <v>9136</v>
      </c>
    </row>
    <row r="778" spans="1:14" x14ac:dyDescent="0.35">
      <c r="A778" s="1" t="s">
        <v>4321</v>
      </c>
      <c r="B778" s="3" t="s">
        <v>4087</v>
      </c>
      <c r="C778" s="1" t="s">
        <v>4143</v>
      </c>
      <c r="D778" s="1" t="s">
        <v>9135</v>
      </c>
      <c r="E778" s="1" t="str">
        <f>"7510"</f>
        <v>7510</v>
      </c>
      <c r="F778" s="1" t="str">
        <f>"001614292"</f>
        <v>001614292</v>
      </c>
      <c r="G778" s="1" t="s">
        <v>9134</v>
      </c>
      <c r="H778" s="1" t="s">
        <v>9133</v>
      </c>
      <c r="I778" s="3" t="str">
        <f>"10"</f>
        <v>10</v>
      </c>
      <c r="J778" s="3">
        <v>9.94</v>
      </c>
      <c r="K778" s="2">
        <v>45911</v>
      </c>
      <c r="L778" s="2">
        <v>45919</v>
      </c>
      <c r="M778" s="1" t="s">
        <v>9132</v>
      </c>
      <c r="N778" s="1" t="s">
        <v>9131</v>
      </c>
    </row>
    <row r="779" spans="1:14" x14ac:dyDescent="0.35">
      <c r="A779" s="1" t="s">
        <v>4321</v>
      </c>
      <c r="B779" s="3" t="s">
        <v>2248</v>
      </c>
      <c r="C779" s="1" t="s">
        <v>9130</v>
      </c>
      <c r="D779" s="1" t="s">
        <v>9129</v>
      </c>
      <c r="E779" s="1" t="str">
        <f>"2340"</f>
        <v>2340</v>
      </c>
      <c r="F779" s="1" t="s">
        <v>647</v>
      </c>
      <c r="G779" s="1" t="s">
        <v>648</v>
      </c>
      <c r="H779" s="1" t="s">
        <v>15</v>
      </c>
      <c r="I779" s="3" t="str">
        <f>"1"</f>
        <v>1</v>
      </c>
      <c r="J779" s="3">
        <v>10199.99</v>
      </c>
      <c r="K779" s="2">
        <v>45911</v>
      </c>
      <c r="L779" s="2">
        <v>45919</v>
      </c>
      <c r="M779" s="1" t="s">
        <v>9128</v>
      </c>
      <c r="N779" s="1" t="s">
        <v>9127</v>
      </c>
    </row>
    <row r="780" spans="1:14" x14ac:dyDescent="0.35">
      <c r="A780" s="1" t="s">
        <v>4321</v>
      </c>
      <c r="B780" s="3" t="s">
        <v>3183</v>
      </c>
      <c r="C780" s="1" t="s">
        <v>3184</v>
      </c>
      <c r="D780" s="1" t="s">
        <v>9126</v>
      </c>
      <c r="E780" s="1" t="str">
        <f>"2330"</f>
        <v>2330</v>
      </c>
      <c r="F780" s="1" t="s">
        <v>70</v>
      </c>
      <c r="G780" s="1" t="s">
        <v>71</v>
      </c>
      <c r="H780" s="1" t="s">
        <v>15</v>
      </c>
      <c r="I780" s="3" t="str">
        <f>"1"</f>
        <v>1</v>
      </c>
      <c r="J780" s="3">
        <v>33516.5</v>
      </c>
      <c r="K780" s="2">
        <v>45906</v>
      </c>
      <c r="L780" s="2">
        <v>45919</v>
      </c>
      <c r="M780" s="1" t="s">
        <v>9125</v>
      </c>
      <c r="N780" s="1" t="s">
        <v>9124</v>
      </c>
    </row>
    <row r="781" spans="1:14" x14ac:dyDescent="0.35">
      <c r="A781" s="1" t="s">
        <v>4321</v>
      </c>
      <c r="B781" s="3" t="s">
        <v>93</v>
      </c>
      <c r="C781" s="1" t="s">
        <v>403</v>
      </c>
      <c r="D781" s="1" t="s">
        <v>9123</v>
      </c>
      <c r="E781" s="1" t="str">
        <f>"2330"</f>
        <v>2330</v>
      </c>
      <c r="F781" s="1" t="s">
        <v>70</v>
      </c>
      <c r="G781" s="1" t="s">
        <v>71</v>
      </c>
      <c r="H781" s="1" t="s">
        <v>15</v>
      </c>
      <c r="I781" s="3" t="str">
        <f>"1"</f>
        <v>1</v>
      </c>
      <c r="J781" s="3">
        <v>33516.5</v>
      </c>
      <c r="K781" s="2">
        <v>45906</v>
      </c>
      <c r="L781" s="2">
        <v>45919</v>
      </c>
      <c r="M781" s="1" t="s">
        <v>9122</v>
      </c>
      <c r="N781" s="1" t="s">
        <v>9121</v>
      </c>
    </row>
    <row r="782" spans="1:14" x14ac:dyDescent="0.35">
      <c r="A782" s="1" t="s">
        <v>4321</v>
      </c>
      <c r="B782" s="3" t="s">
        <v>2638</v>
      </c>
      <c r="C782" s="1" t="s">
        <v>5290</v>
      </c>
      <c r="D782" s="1" t="s">
        <v>9120</v>
      </c>
      <c r="E782" s="1" t="str">
        <f>"2330"</f>
        <v>2330</v>
      </c>
      <c r="F782" s="1" t="s">
        <v>70</v>
      </c>
      <c r="G782" s="1" t="s">
        <v>71</v>
      </c>
      <c r="H782" s="1" t="s">
        <v>15</v>
      </c>
      <c r="I782" s="3" t="str">
        <f>"1"</f>
        <v>1</v>
      </c>
      <c r="J782" s="3" t="str">
        <f>"10000"</f>
        <v>10000</v>
      </c>
      <c r="K782" s="2">
        <v>45901</v>
      </c>
      <c r="L782" s="2">
        <v>45919</v>
      </c>
      <c r="M782" s="1" t="s">
        <v>9119</v>
      </c>
      <c r="N782" s="1" t="s">
        <v>9118</v>
      </c>
    </row>
    <row r="783" spans="1:14" x14ac:dyDescent="0.35">
      <c r="A783" s="1" t="s">
        <v>4321</v>
      </c>
      <c r="B783" s="3" t="s">
        <v>2248</v>
      </c>
      <c r="C783" s="1" t="s">
        <v>8165</v>
      </c>
      <c r="D783" s="1" t="s">
        <v>9117</v>
      </c>
      <c r="E783" s="1" t="str">
        <f>"1550"</f>
        <v>1550</v>
      </c>
      <c r="F783" s="1" t="str">
        <f>"016215533"</f>
        <v>016215533</v>
      </c>
      <c r="G783" s="1" t="s">
        <v>2334</v>
      </c>
      <c r="H783" s="1" t="s">
        <v>15</v>
      </c>
      <c r="I783" s="3" t="str">
        <f>"1"</f>
        <v>1</v>
      </c>
      <c r="J783" s="3" t="str">
        <f>"168000"</f>
        <v>168000</v>
      </c>
      <c r="K783" s="2">
        <v>45895</v>
      </c>
      <c r="L783" s="2">
        <v>45919</v>
      </c>
      <c r="M783" s="1" t="s">
        <v>9116</v>
      </c>
      <c r="N783" s="1" t="s">
        <v>9115</v>
      </c>
    </row>
    <row r="784" spans="1:14" x14ac:dyDescent="0.35">
      <c r="A784" s="1" t="s">
        <v>4321</v>
      </c>
      <c r="B784" s="3" t="s">
        <v>3183</v>
      </c>
      <c r="C784" s="1" t="s">
        <v>3364</v>
      </c>
      <c r="D784" s="1" t="s">
        <v>9114</v>
      </c>
      <c r="E784" s="1" t="str">
        <f>"1005"</f>
        <v>1005</v>
      </c>
      <c r="F784" s="1" t="str">
        <f>"014523527"</f>
        <v>014523527</v>
      </c>
      <c r="G784" s="1" t="s">
        <v>1865</v>
      </c>
      <c r="H784" s="1" t="s">
        <v>15</v>
      </c>
      <c r="I784" s="3" t="str">
        <f>"13"</f>
        <v>13</v>
      </c>
      <c r="J784" s="3">
        <v>93.8</v>
      </c>
      <c r="K784" s="2">
        <v>45894</v>
      </c>
      <c r="L784" s="2">
        <v>45919</v>
      </c>
      <c r="M784" s="1" t="s">
        <v>9113</v>
      </c>
      <c r="N784" s="1" t="s">
        <v>9112</v>
      </c>
    </row>
    <row r="785" spans="1:14" x14ac:dyDescent="0.35">
      <c r="A785" s="1" t="s">
        <v>4321</v>
      </c>
      <c r="B785" s="3" t="s">
        <v>93</v>
      </c>
      <c r="C785" s="1" t="s">
        <v>387</v>
      </c>
      <c r="D785" s="1" t="s">
        <v>9111</v>
      </c>
      <c r="E785" s="1" t="str">
        <f>"2320"</f>
        <v>2320</v>
      </c>
      <c r="F785" s="1" t="str">
        <f>"011233999"</f>
        <v>011233999</v>
      </c>
      <c r="G785" s="1" t="s">
        <v>373</v>
      </c>
      <c r="H785" s="1" t="s">
        <v>15</v>
      </c>
      <c r="I785" s="3" t="str">
        <f>"1"</f>
        <v>1</v>
      </c>
      <c r="J785" s="3" t="str">
        <f>"11561"</f>
        <v>11561</v>
      </c>
      <c r="K785" s="2">
        <v>45891</v>
      </c>
      <c r="L785" s="2">
        <v>45919</v>
      </c>
      <c r="M785" s="1" t="s">
        <v>9110</v>
      </c>
      <c r="N785" s="1" t="s">
        <v>9109</v>
      </c>
    </row>
    <row r="786" spans="1:14" x14ac:dyDescent="0.35">
      <c r="A786" s="1" t="s">
        <v>4321</v>
      </c>
      <c r="B786" s="3" t="s">
        <v>93</v>
      </c>
      <c r="C786" s="1" t="s">
        <v>387</v>
      </c>
      <c r="D786" s="1" t="s">
        <v>9108</v>
      </c>
      <c r="E786" s="1" t="str">
        <f>"2330"</f>
        <v>2330</v>
      </c>
      <c r="F786" s="1" t="s">
        <v>70</v>
      </c>
      <c r="G786" s="1" t="s">
        <v>71</v>
      </c>
      <c r="H786" s="1" t="s">
        <v>15</v>
      </c>
      <c r="I786" s="3" t="str">
        <f>"1"</f>
        <v>1</v>
      </c>
      <c r="J786" s="3">
        <v>6215.16</v>
      </c>
      <c r="K786" s="2">
        <v>45891</v>
      </c>
      <c r="L786" s="2">
        <v>45919</v>
      </c>
      <c r="M786" s="1" t="s">
        <v>9107</v>
      </c>
      <c r="N786" s="1" t="s">
        <v>9106</v>
      </c>
    </row>
    <row r="787" spans="1:14" x14ac:dyDescent="0.35">
      <c r="A787" s="1" t="s">
        <v>4321</v>
      </c>
      <c r="B787" s="3" t="s">
        <v>5157</v>
      </c>
      <c r="C787" s="1" t="s">
        <v>5156</v>
      </c>
      <c r="D787" s="1" t="s">
        <v>9105</v>
      </c>
      <c r="E787" s="1" t="str">
        <f>"6545"</f>
        <v>6545</v>
      </c>
      <c r="F787" s="1" t="str">
        <f>"015369467"</f>
        <v>015369467</v>
      </c>
      <c r="G787" s="1" t="s">
        <v>2560</v>
      </c>
      <c r="H787" s="1" t="s">
        <v>15</v>
      </c>
      <c r="I787" s="3" t="str">
        <f>"30"</f>
        <v>30</v>
      </c>
      <c r="J787" s="3">
        <v>729.46</v>
      </c>
      <c r="K787" s="2">
        <v>45886</v>
      </c>
      <c r="L787" s="2">
        <v>45919</v>
      </c>
      <c r="M787" s="1" t="s">
        <v>9104</v>
      </c>
      <c r="N787" s="1" t="s">
        <v>9103</v>
      </c>
    </row>
    <row r="788" spans="1:14" x14ac:dyDescent="0.35">
      <c r="A788" s="1" t="s">
        <v>4321</v>
      </c>
      <c r="B788" s="3" t="s">
        <v>5157</v>
      </c>
      <c r="C788" s="1" t="s">
        <v>5156</v>
      </c>
      <c r="D788" s="1" t="s">
        <v>9102</v>
      </c>
      <c r="E788" s="1" t="str">
        <f>"1730"</f>
        <v>1730</v>
      </c>
      <c r="F788" s="1" t="str">
        <f>"014242857"</f>
        <v>014242857</v>
      </c>
      <c r="G788" s="1" t="s">
        <v>4287</v>
      </c>
      <c r="H788" s="1" t="s">
        <v>15</v>
      </c>
      <c r="I788" s="3" t="str">
        <f>"1"</f>
        <v>1</v>
      </c>
      <c r="J788" s="3">
        <v>1758.95</v>
      </c>
      <c r="K788" s="2">
        <v>45883</v>
      </c>
      <c r="L788" s="2">
        <v>45919</v>
      </c>
      <c r="M788" s="1" t="s">
        <v>9101</v>
      </c>
      <c r="N788" s="1" t="s">
        <v>9100</v>
      </c>
    </row>
    <row r="789" spans="1:14" x14ac:dyDescent="0.35">
      <c r="A789" s="1" t="s">
        <v>4321</v>
      </c>
      <c r="B789" s="3" t="s">
        <v>5157</v>
      </c>
      <c r="C789" s="1" t="s">
        <v>5156</v>
      </c>
      <c r="D789" s="1" t="s">
        <v>9099</v>
      </c>
      <c r="E789" s="1" t="str">
        <f>"8415"</f>
        <v>8415</v>
      </c>
      <c r="F789" s="1" t="str">
        <f>"015269184"</f>
        <v>015269184</v>
      </c>
      <c r="G789" s="1" t="s">
        <v>1966</v>
      </c>
      <c r="H789" s="1" t="s">
        <v>15</v>
      </c>
      <c r="I789" s="3" t="str">
        <f>"1"</f>
        <v>1</v>
      </c>
      <c r="J789" s="3">
        <v>171.72</v>
      </c>
      <c r="K789" s="2">
        <v>45883</v>
      </c>
      <c r="L789" s="2">
        <v>45919</v>
      </c>
      <c r="M789" s="1" t="s">
        <v>9098</v>
      </c>
      <c r="N789" s="1" t="s">
        <v>9097</v>
      </c>
    </row>
    <row r="790" spans="1:14" x14ac:dyDescent="0.35">
      <c r="A790" s="1" t="s">
        <v>4321</v>
      </c>
      <c r="B790" s="3" t="s">
        <v>5157</v>
      </c>
      <c r="C790" s="1" t="s">
        <v>5156</v>
      </c>
      <c r="D790" s="1" t="s">
        <v>9096</v>
      </c>
      <c r="E790" s="1" t="str">
        <f>"8415"</f>
        <v>8415</v>
      </c>
      <c r="F790" s="1" t="str">
        <f>"015269186"</f>
        <v>015269186</v>
      </c>
      <c r="G790" s="1" t="s">
        <v>1966</v>
      </c>
      <c r="H790" s="1" t="s">
        <v>15</v>
      </c>
      <c r="I790" s="3" t="str">
        <f>"1"</f>
        <v>1</v>
      </c>
      <c r="J790" s="3">
        <v>171.72</v>
      </c>
      <c r="K790" s="2">
        <v>45883</v>
      </c>
      <c r="L790" s="2">
        <v>45919</v>
      </c>
      <c r="M790" s="1" t="s">
        <v>9095</v>
      </c>
      <c r="N790" s="1" t="s">
        <v>9094</v>
      </c>
    </row>
    <row r="791" spans="1:14" x14ac:dyDescent="0.35">
      <c r="A791" s="1" t="s">
        <v>4321</v>
      </c>
      <c r="B791" s="3" t="s">
        <v>601</v>
      </c>
      <c r="C791" s="1" t="s">
        <v>683</v>
      </c>
      <c r="D791" s="1" t="s">
        <v>9093</v>
      </c>
      <c r="E791" s="1" t="str">
        <f>"7830"</f>
        <v>7830</v>
      </c>
      <c r="F791" s="1" t="s">
        <v>89</v>
      </c>
      <c r="G791" s="1" t="s">
        <v>90</v>
      </c>
      <c r="H791" s="1" t="s">
        <v>15</v>
      </c>
      <c r="I791" s="3" t="str">
        <f>"3"</f>
        <v>3</v>
      </c>
      <c r="J791" s="3">
        <v>1103.21</v>
      </c>
      <c r="K791" s="2">
        <v>45918</v>
      </c>
      <c r="L791" s="2">
        <v>45918</v>
      </c>
      <c r="M791" s="1" t="s">
        <v>688</v>
      </c>
      <c r="N791" s="1" t="s">
        <v>9092</v>
      </c>
    </row>
    <row r="792" spans="1:14" x14ac:dyDescent="0.35">
      <c r="A792" s="1" t="s">
        <v>4321</v>
      </c>
      <c r="B792" s="3" t="s">
        <v>2987</v>
      </c>
      <c r="C792" s="1" t="s">
        <v>5394</v>
      </c>
      <c r="D792" s="1" t="s">
        <v>9091</v>
      </c>
      <c r="E792" s="1" t="str">
        <f>"2320"</f>
        <v>2320</v>
      </c>
      <c r="F792" s="1" t="str">
        <f>"015402007"</f>
        <v>015402007</v>
      </c>
      <c r="G792" s="1" t="s">
        <v>604</v>
      </c>
      <c r="H792" s="1" t="s">
        <v>15</v>
      </c>
      <c r="I792" s="3" t="str">
        <f>"1"</f>
        <v>1</v>
      </c>
      <c r="J792" s="3" t="str">
        <f>"181463"</f>
        <v>181463</v>
      </c>
      <c r="K792" s="2">
        <v>45917</v>
      </c>
      <c r="L792" s="2">
        <v>45918</v>
      </c>
      <c r="M792" s="1" t="s">
        <v>9090</v>
      </c>
      <c r="N792" s="1" t="s">
        <v>4343</v>
      </c>
    </row>
    <row r="793" spans="1:14" x14ac:dyDescent="0.35">
      <c r="A793" s="1" t="s">
        <v>4321</v>
      </c>
      <c r="B793" s="3" t="s">
        <v>4253</v>
      </c>
      <c r="C793" s="1" t="s">
        <v>4276</v>
      </c>
      <c r="D793" s="1" t="s">
        <v>9089</v>
      </c>
      <c r="E793" s="1" t="str">
        <f>"3895"</f>
        <v>3895</v>
      </c>
      <c r="F793" s="1" t="s">
        <v>396</v>
      </c>
      <c r="G793" s="1" t="s">
        <v>397</v>
      </c>
      <c r="H793" s="1" t="s">
        <v>15</v>
      </c>
      <c r="I793" s="3" t="str">
        <f>"1"</f>
        <v>1</v>
      </c>
      <c r="J793" s="3" t="str">
        <f>"98937"</f>
        <v>98937</v>
      </c>
      <c r="K793" s="2">
        <v>45917</v>
      </c>
      <c r="L793" s="2">
        <v>45918</v>
      </c>
      <c r="M793" s="1" t="s">
        <v>9088</v>
      </c>
      <c r="N793" s="1" t="s">
        <v>4387</v>
      </c>
    </row>
    <row r="794" spans="1:14" x14ac:dyDescent="0.35">
      <c r="A794" s="1" t="s">
        <v>4321</v>
      </c>
      <c r="B794" s="3" t="s">
        <v>2000</v>
      </c>
      <c r="C794" s="1" t="s">
        <v>2001</v>
      </c>
      <c r="D794" s="1" t="s">
        <v>9087</v>
      </c>
      <c r="E794" s="1" t="str">
        <f>"2320"</f>
        <v>2320</v>
      </c>
      <c r="F794" s="1" t="s">
        <v>274</v>
      </c>
      <c r="G794" s="1" t="s">
        <v>275</v>
      </c>
      <c r="H794" s="1" t="s">
        <v>15</v>
      </c>
      <c r="I794" s="3" t="str">
        <f>"1"</f>
        <v>1</v>
      </c>
      <c r="J794" s="3" t="str">
        <f>"8000"</f>
        <v>8000</v>
      </c>
      <c r="K794" s="2">
        <v>45915</v>
      </c>
      <c r="L794" s="2">
        <v>45918</v>
      </c>
      <c r="M794" s="1" t="s">
        <v>9086</v>
      </c>
      <c r="N794" s="1" t="s">
        <v>9085</v>
      </c>
    </row>
    <row r="795" spans="1:14" x14ac:dyDescent="0.35">
      <c r="A795" s="1" t="s">
        <v>4321</v>
      </c>
      <c r="B795" s="3" t="s">
        <v>2000</v>
      </c>
      <c r="C795" s="1" t="s">
        <v>2001</v>
      </c>
      <c r="D795" s="1" t="s">
        <v>9084</v>
      </c>
      <c r="E795" s="1" t="str">
        <f>"2420"</f>
        <v>2420</v>
      </c>
      <c r="F795" s="1" t="s">
        <v>405</v>
      </c>
      <c r="G795" s="1" t="s">
        <v>406</v>
      </c>
      <c r="H795" s="1" t="s">
        <v>15</v>
      </c>
      <c r="I795" s="3" t="str">
        <f>"1"</f>
        <v>1</v>
      </c>
      <c r="J795" s="3" t="str">
        <f>"53275"</f>
        <v>53275</v>
      </c>
      <c r="K795" s="2">
        <v>45915</v>
      </c>
      <c r="L795" s="2">
        <v>45918</v>
      </c>
      <c r="M795" s="1" t="s">
        <v>9083</v>
      </c>
      <c r="N795" s="1" t="s">
        <v>9082</v>
      </c>
    </row>
    <row r="796" spans="1:14" x14ac:dyDescent="0.35">
      <c r="A796" s="1" t="s">
        <v>4321</v>
      </c>
      <c r="B796" s="3" t="s">
        <v>4087</v>
      </c>
      <c r="C796" s="1" t="s">
        <v>4143</v>
      </c>
      <c r="D796" s="1" t="s">
        <v>9081</v>
      </c>
      <c r="E796" s="1" t="str">
        <f>"6645"</f>
        <v>6645</v>
      </c>
      <c r="F796" s="1" t="s">
        <v>2796</v>
      </c>
      <c r="G796" s="1" t="s">
        <v>2797</v>
      </c>
      <c r="H796" s="1" t="s">
        <v>15</v>
      </c>
      <c r="I796" s="3" t="str">
        <f>"1"</f>
        <v>1</v>
      </c>
      <c r="J796" s="3">
        <v>68.540000000000006</v>
      </c>
      <c r="K796" s="2">
        <v>45915</v>
      </c>
      <c r="L796" s="2">
        <v>45918</v>
      </c>
      <c r="M796" s="1" t="s">
        <v>9005</v>
      </c>
      <c r="N796" s="1" t="s">
        <v>9080</v>
      </c>
    </row>
    <row r="797" spans="1:14" x14ac:dyDescent="0.35">
      <c r="A797" s="1" t="s">
        <v>4321</v>
      </c>
      <c r="B797" s="3" t="s">
        <v>93</v>
      </c>
      <c r="C797" s="1" t="s">
        <v>433</v>
      </c>
      <c r="D797" s="1" t="s">
        <v>9079</v>
      </c>
      <c r="E797" s="1" t="str">
        <f>"2320"</f>
        <v>2320</v>
      </c>
      <c r="F797" s="1" t="s">
        <v>274</v>
      </c>
      <c r="G797" s="1" t="s">
        <v>275</v>
      </c>
      <c r="H797" s="1" t="s">
        <v>15</v>
      </c>
      <c r="I797" s="3" t="str">
        <f>"1"</f>
        <v>1</v>
      </c>
      <c r="J797" s="3" t="str">
        <f>"8000"</f>
        <v>8000</v>
      </c>
      <c r="K797" s="2">
        <v>45915</v>
      </c>
      <c r="L797" s="2">
        <v>45918</v>
      </c>
      <c r="M797" s="1" t="s">
        <v>9078</v>
      </c>
      <c r="N797" s="1" t="s">
        <v>9077</v>
      </c>
    </row>
    <row r="798" spans="1:14" x14ac:dyDescent="0.35">
      <c r="A798" s="1" t="s">
        <v>4321</v>
      </c>
      <c r="B798" s="3" t="s">
        <v>2248</v>
      </c>
      <c r="C798" s="1" t="s">
        <v>2375</v>
      </c>
      <c r="D798" s="1" t="s">
        <v>9076</v>
      </c>
      <c r="E798" s="1" t="str">
        <f>"2320"</f>
        <v>2320</v>
      </c>
      <c r="F798" s="1" t="s">
        <v>274</v>
      </c>
      <c r="G798" s="1" t="s">
        <v>275</v>
      </c>
      <c r="H798" s="1" t="s">
        <v>15</v>
      </c>
      <c r="I798" s="3" t="str">
        <f>"1"</f>
        <v>1</v>
      </c>
      <c r="J798" s="3" t="str">
        <f>"8000"</f>
        <v>8000</v>
      </c>
      <c r="K798" s="2">
        <v>45915</v>
      </c>
      <c r="L798" s="2">
        <v>45918</v>
      </c>
      <c r="M798" s="1" t="s">
        <v>9075</v>
      </c>
      <c r="N798" s="1" t="s">
        <v>9074</v>
      </c>
    </row>
    <row r="799" spans="1:14" x14ac:dyDescent="0.35">
      <c r="A799" s="1" t="s">
        <v>4321</v>
      </c>
      <c r="B799" s="3" t="s">
        <v>3885</v>
      </c>
      <c r="C799" s="1" t="s">
        <v>3966</v>
      </c>
      <c r="D799" s="1" t="s">
        <v>9073</v>
      </c>
      <c r="E799" s="1" t="str">
        <f>"2320"</f>
        <v>2320</v>
      </c>
      <c r="F799" s="1" t="s">
        <v>274</v>
      </c>
      <c r="G799" s="1" t="s">
        <v>275</v>
      </c>
      <c r="H799" s="1" t="s">
        <v>15</v>
      </c>
      <c r="I799" s="3" t="str">
        <f>"1"</f>
        <v>1</v>
      </c>
      <c r="J799" s="3" t="str">
        <f>"8000"</f>
        <v>8000</v>
      </c>
      <c r="K799" s="2">
        <v>45915</v>
      </c>
      <c r="L799" s="2">
        <v>45918</v>
      </c>
      <c r="M799" s="1" t="s">
        <v>9072</v>
      </c>
      <c r="N799" s="1" t="s">
        <v>9071</v>
      </c>
    </row>
    <row r="800" spans="1:14" x14ac:dyDescent="0.35">
      <c r="A800" s="1" t="s">
        <v>4321</v>
      </c>
      <c r="B800" s="3" t="s">
        <v>806</v>
      </c>
      <c r="C800" s="1" t="s">
        <v>1079</v>
      </c>
      <c r="D800" s="1" t="s">
        <v>9070</v>
      </c>
      <c r="E800" s="1" t="str">
        <f>"5120"</f>
        <v>5120</v>
      </c>
      <c r="F800" s="1" t="str">
        <f>"016055996"</f>
        <v>016055996</v>
      </c>
      <c r="G800" s="1" t="s">
        <v>3555</v>
      </c>
      <c r="H800" s="1" t="s">
        <v>15</v>
      </c>
      <c r="I800" s="3" t="str">
        <f>"1"</f>
        <v>1</v>
      </c>
      <c r="J800" s="3">
        <v>22.64</v>
      </c>
      <c r="K800" s="2">
        <v>45915</v>
      </c>
      <c r="L800" s="2">
        <v>45918</v>
      </c>
      <c r="M800" s="1" t="s">
        <v>9069</v>
      </c>
      <c r="N800" s="1" t="s">
        <v>9068</v>
      </c>
    </row>
    <row r="801" spans="1:14" x14ac:dyDescent="0.35">
      <c r="A801" s="1" t="s">
        <v>4321</v>
      </c>
      <c r="B801" s="3" t="s">
        <v>4087</v>
      </c>
      <c r="C801" s="1" t="s">
        <v>4143</v>
      </c>
      <c r="D801" s="1" t="s">
        <v>9067</v>
      </c>
      <c r="E801" s="1" t="str">
        <f>"7530"</f>
        <v>7530</v>
      </c>
      <c r="F801" s="1" t="str">
        <f>"011167867"</f>
        <v>011167867</v>
      </c>
      <c r="G801" s="1" t="s">
        <v>6697</v>
      </c>
      <c r="H801" s="1" t="s">
        <v>4183</v>
      </c>
      <c r="I801" s="3" t="str">
        <f>"6"</f>
        <v>6</v>
      </c>
      <c r="J801" s="3">
        <v>16.75</v>
      </c>
      <c r="K801" s="2">
        <v>45914</v>
      </c>
      <c r="L801" s="2">
        <v>45918</v>
      </c>
      <c r="M801" s="1" t="s">
        <v>9066</v>
      </c>
      <c r="N801" s="1" t="s">
        <v>9065</v>
      </c>
    </row>
    <row r="802" spans="1:14" x14ac:dyDescent="0.35">
      <c r="A802" s="1" t="s">
        <v>4321</v>
      </c>
      <c r="B802" s="3" t="s">
        <v>3513</v>
      </c>
      <c r="C802" s="1" t="s">
        <v>3514</v>
      </c>
      <c r="D802" s="1" t="s">
        <v>9064</v>
      </c>
      <c r="E802" s="1" t="str">
        <f>"3930"</f>
        <v>3930</v>
      </c>
      <c r="F802" s="1" t="s">
        <v>150</v>
      </c>
      <c r="G802" s="1" t="s">
        <v>151</v>
      </c>
      <c r="H802" s="1" t="s">
        <v>15</v>
      </c>
      <c r="I802" s="3" t="str">
        <f>"1"</f>
        <v>1</v>
      </c>
      <c r="J802" s="3" t="str">
        <f>"70758"</f>
        <v>70758</v>
      </c>
      <c r="K802" s="2">
        <v>45913</v>
      </c>
      <c r="L802" s="2">
        <v>45918</v>
      </c>
      <c r="M802" s="1" t="s">
        <v>9063</v>
      </c>
      <c r="N802" s="1" t="s">
        <v>9062</v>
      </c>
    </row>
    <row r="803" spans="1:14" x14ac:dyDescent="0.35">
      <c r="A803" s="1" t="s">
        <v>4321</v>
      </c>
      <c r="B803" s="3" t="s">
        <v>3183</v>
      </c>
      <c r="C803" s="1" t="s">
        <v>3184</v>
      </c>
      <c r="D803" s="1" t="s">
        <v>9061</v>
      </c>
      <c r="E803" s="1" t="str">
        <f>"2420"</f>
        <v>2420</v>
      </c>
      <c r="F803" s="1" t="s">
        <v>405</v>
      </c>
      <c r="G803" s="1" t="s">
        <v>406</v>
      </c>
      <c r="H803" s="1" t="s">
        <v>15</v>
      </c>
      <c r="I803" s="3" t="str">
        <f>"1"</f>
        <v>1</v>
      </c>
      <c r="J803" s="3" t="str">
        <f>"53275"</f>
        <v>53275</v>
      </c>
      <c r="K803" s="2">
        <v>45913</v>
      </c>
      <c r="L803" s="2">
        <v>45918</v>
      </c>
      <c r="M803" s="1" t="s">
        <v>9060</v>
      </c>
      <c r="N803" s="1" t="s">
        <v>9059</v>
      </c>
    </row>
    <row r="804" spans="1:14" x14ac:dyDescent="0.35">
      <c r="A804" s="1" t="s">
        <v>4321</v>
      </c>
      <c r="B804" s="3" t="s">
        <v>3183</v>
      </c>
      <c r="C804" s="1" t="s">
        <v>3256</v>
      </c>
      <c r="D804" s="1" t="s">
        <v>9058</v>
      </c>
      <c r="E804" s="1" t="str">
        <f>"6515"</f>
        <v>6515</v>
      </c>
      <c r="F804" s="1" t="str">
        <f>"016030401"</f>
        <v>016030401</v>
      </c>
      <c r="G804" s="1" t="s">
        <v>2790</v>
      </c>
      <c r="H804" s="1" t="s">
        <v>15</v>
      </c>
      <c r="I804" s="3" t="str">
        <f>"2"</f>
        <v>2</v>
      </c>
      <c r="J804" s="3">
        <v>2621.37</v>
      </c>
      <c r="K804" s="2">
        <v>45913</v>
      </c>
      <c r="L804" s="2">
        <v>45918</v>
      </c>
      <c r="M804" s="1" t="s">
        <v>9057</v>
      </c>
      <c r="N804" s="1" t="s">
        <v>9056</v>
      </c>
    </row>
    <row r="805" spans="1:14" x14ac:dyDescent="0.35">
      <c r="A805" s="1" t="s">
        <v>4321</v>
      </c>
      <c r="B805" s="3" t="s">
        <v>3513</v>
      </c>
      <c r="C805" s="1" t="s">
        <v>3684</v>
      </c>
      <c r="D805" s="1" t="s">
        <v>9055</v>
      </c>
      <c r="E805" s="1" t="str">
        <f>"3930"</f>
        <v>3930</v>
      </c>
      <c r="F805" s="1" t="s">
        <v>150</v>
      </c>
      <c r="G805" s="1" t="s">
        <v>151</v>
      </c>
      <c r="H805" s="1" t="s">
        <v>15</v>
      </c>
      <c r="I805" s="3" t="str">
        <f>"1"</f>
        <v>1</v>
      </c>
      <c r="J805" s="3" t="str">
        <f>"70758"</f>
        <v>70758</v>
      </c>
      <c r="K805" s="2">
        <v>45913</v>
      </c>
      <c r="L805" s="2">
        <v>45918</v>
      </c>
      <c r="M805" s="1" t="s">
        <v>9054</v>
      </c>
      <c r="N805" s="1" t="s">
        <v>9053</v>
      </c>
    </row>
    <row r="806" spans="1:14" x14ac:dyDescent="0.35">
      <c r="A806" s="1" t="s">
        <v>4321</v>
      </c>
      <c r="B806" s="3" t="s">
        <v>1944</v>
      </c>
      <c r="C806" s="1" t="s">
        <v>8687</v>
      </c>
      <c r="D806" s="1" t="s">
        <v>9052</v>
      </c>
      <c r="E806" s="1" t="str">
        <f>"6645"</f>
        <v>6645</v>
      </c>
      <c r="F806" s="1" t="s">
        <v>2796</v>
      </c>
      <c r="G806" s="1" t="s">
        <v>2797</v>
      </c>
      <c r="H806" s="1" t="s">
        <v>15</v>
      </c>
      <c r="I806" s="3" t="str">
        <f>"2"</f>
        <v>2</v>
      </c>
      <c r="J806" s="3">
        <v>68.58</v>
      </c>
      <c r="K806" s="2">
        <v>45913</v>
      </c>
      <c r="L806" s="2">
        <v>45918</v>
      </c>
      <c r="M806" s="1" t="s">
        <v>8990</v>
      </c>
      <c r="N806" s="1" t="s">
        <v>9051</v>
      </c>
    </row>
    <row r="807" spans="1:14" x14ac:dyDescent="0.35">
      <c r="A807" s="1" t="s">
        <v>4321</v>
      </c>
      <c r="B807" s="3" t="s">
        <v>1944</v>
      </c>
      <c r="C807" s="1" t="s">
        <v>8687</v>
      </c>
      <c r="D807" s="1" t="s">
        <v>9050</v>
      </c>
      <c r="E807" s="1" t="str">
        <f>"6645"</f>
        <v>6645</v>
      </c>
      <c r="F807" s="1" t="s">
        <v>2796</v>
      </c>
      <c r="G807" s="1" t="s">
        <v>2797</v>
      </c>
      <c r="H807" s="1" t="s">
        <v>15</v>
      </c>
      <c r="I807" s="3" t="str">
        <f>"1"</f>
        <v>1</v>
      </c>
      <c r="J807" s="3">
        <v>68.540000000000006</v>
      </c>
      <c r="K807" s="2">
        <v>45913</v>
      </c>
      <c r="L807" s="2">
        <v>45918</v>
      </c>
      <c r="M807" s="1" t="s">
        <v>8990</v>
      </c>
      <c r="N807" s="1" t="s">
        <v>9049</v>
      </c>
    </row>
    <row r="808" spans="1:14" x14ac:dyDescent="0.35">
      <c r="A808" s="1" t="s">
        <v>4321</v>
      </c>
      <c r="B808" s="3" t="s">
        <v>1944</v>
      </c>
      <c r="C808" s="1" t="s">
        <v>8687</v>
      </c>
      <c r="D808" s="1" t="s">
        <v>9048</v>
      </c>
      <c r="E808" s="1" t="str">
        <f>"8415"</f>
        <v>8415</v>
      </c>
      <c r="F808" s="1" t="str">
        <f>"015387012"</f>
        <v>015387012</v>
      </c>
      <c r="G808" s="1" t="s">
        <v>2476</v>
      </c>
      <c r="H808" s="1" t="s">
        <v>15</v>
      </c>
      <c r="I808" s="3" t="str">
        <f>"4"</f>
        <v>4</v>
      </c>
      <c r="J808" s="3">
        <v>115.68</v>
      </c>
      <c r="K808" s="2">
        <v>45913</v>
      </c>
      <c r="L808" s="2">
        <v>45918</v>
      </c>
      <c r="M808" s="1" t="s">
        <v>9047</v>
      </c>
      <c r="N808" s="1" t="s">
        <v>9046</v>
      </c>
    </row>
    <row r="809" spans="1:14" x14ac:dyDescent="0.35">
      <c r="A809" s="1" t="s">
        <v>4321</v>
      </c>
      <c r="B809" s="3" t="s">
        <v>3513</v>
      </c>
      <c r="C809" s="1" t="s">
        <v>3793</v>
      </c>
      <c r="D809" s="1" t="s">
        <v>9045</v>
      </c>
      <c r="E809" s="1" t="str">
        <f>"3930"</f>
        <v>3930</v>
      </c>
      <c r="F809" s="1" t="s">
        <v>150</v>
      </c>
      <c r="G809" s="1" t="s">
        <v>151</v>
      </c>
      <c r="H809" s="1" t="s">
        <v>15</v>
      </c>
      <c r="I809" s="3" t="str">
        <f>"1"</f>
        <v>1</v>
      </c>
      <c r="J809" s="3" t="str">
        <f>"70758"</f>
        <v>70758</v>
      </c>
      <c r="K809" s="2">
        <v>45913</v>
      </c>
      <c r="L809" s="2">
        <v>45918</v>
      </c>
      <c r="M809" s="1" t="s">
        <v>9044</v>
      </c>
      <c r="N809" s="1" t="s">
        <v>9043</v>
      </c>
    </row>
    <row r="810" spans="1:14" x14ac:dyDescent="0.35">
      <c r="A810" s="1" t="s">
        <v>4321</v>
      </c>
      <c r="B810" s="3" t="s">
        <v>601</v>
      </c>
      <c r="C810" s="1" t="s">
        <v>683</v>
      </c>
      <c r="D810" s="1" t="s">
        <v>9042</v>
      </c>
      <c r="E810" s="1" t="str">
        <f>"3930"</f>
        <v>3930</v>
      </c>
      <c r="F810" s="1" t="s">
        <v>150</v>
      </c>
      <c r="G810" s="1" t="s">
        <v>151</v>
      </c>
      <c r="H810" s="1" t="s">
        <v>15</v>
      </c>
      <c r="I810" s="3" t="str">
        <f>"1"</f>
        <v>1</v>
      </c>
      <c r="J810" s="3" t="str">
        <f>"3800"</f>
        <v>3800</v>
      </c>
      <c r="K810" s="2">
        <v>45912</v>
      </c>
      <c r="L810" s="2">
        <v>45918</v>
      </c>
      <c r="M810" s="1" t="s">
        <v>9041</v>
      </c>
      <c r="N810" s="1" t="s">
        <v>9040</v>
      </c>
    </row>
    <row r="811" spans="1:14" x14ac:dyDescent="0.35">
      <c r="A811" s="1" t="s">
        <v>4321</v>
      </c>
      <c r="B811" s="3" t="s">
        <v>2720</v>
      </c>
      <c r="C811" s="1" t="s">
        <v>2931</v>
      </c>
      <c r="D811" s="1" t="s">
        <v>9039</v>
      </c>
      <c r="E811" s="1" t="str">
        <f>"8415"</f>
        <v>8415</v>
      </c>
      <c r="F811" s="1" t="str">
        <f>"015777139"</f>
        <v>015777139</v>
      </c>
      <c r="G811" s="1" t="s">
        <v>9036</v>
      </c>
      <c r="H811" s="1" t="s">
        <v>847</v>
      </c>
      <c r="I811" s="3" t="str">
        <f>"20"</f>
        <v>20</v>
      </c>
      <c r="J811" s="3">
        <v>139.33000000000001</v>
      </c>
      <c r="K811" s="2">
        <v>45908</v>
      </c>
      <c r="L811" s="2">
        <v>45918</v>
      </c>
      <c r="M811" s="1" t="s">
        <v>9035</v>
      </c>
      <c r="N811" s="1" t="s">
        <v>9038</v>
      </c>
    </row>
    <row r="812" spans="1:14" x14ac:dyDescent="0.35">
      <c r="A812" s="1" t="s">
        <v>4321</v>
      </c>
      <c r="B812" s="3" t="s">
        <v>2720</v>
      </c>
      <c r="C812" s="1" t="s">
        <v>2931</v>
      </c>
      <c r="D812" s="1" t="s">
        <v>9037</v>
      </c>
      <c r="E812" s="1" t="str">
        <f>"8415"</f>
        <v>8415</v>
      </c>
      <c r="F812" s="1" t="str">
        <f>"015777173"</f>
        <v>015777173</v>
      </c>
      <c r="G812" s="1" t="s">
        <v>9036</v>
      </c>
      <c r="H812" s="1" t="s">
        <v>847</v>
      </c>
      <c r="I812" s="3" t="str">
        <f>"20"</f>
        <v>20</v>
      </c>
      <c r="J812" s="3">
        <v>139.33000000000001</v>
      </c>
      <c r="K812" s="2">
        <v>45908</v>
      </c>
      <c r="L812" s="2">
        <v>45918</v>
      </c>
      <c r="M812" s="1" t="s">
        <v>9035</v>
      </c>
      <c r="N812" s="1" t="s">
        <v>9034</v>
      </c>
    </row>
    <row r="813" spans="1:14" x14ac:dyDescent="0.35">
      <c r="A813" s="1" t="s">
        <v>4321</v>
      </c>
      <c r="B813" s="3" t="s">
        <v>3183</v>
      </c>
      <c r="C813" s="1" t="s">
        <v>3435</v>
      </c>
      <c r="D813" s="1" t="s">
        <v>9033</v>
      </c>
      <c r="E813" s="1" t="str">
        <f>"3930"</f>
        <v>3930</v>
      </c>
      <c r="F813" s="1" t="str">
        <f>"010873105"</f>
        <v>010873105</v>
      </c>
      <c r="G813" s="1" t="s">
        <v>2176</v>
      </c>
      <c r="H813" s="1" t="s">
        <v>15</v>
      </c>
      <c r="I813" s="3" t="str">
        <f>"1"</f>
        <v>1</v>
      </c>
      <c r="J813" s="3">
        <v>42693.5</v>
      </c>
      <c r="K813" s="2">
        <v>45887</v>
      </c>
      <c r="L813" s="2">
        <v>45918</v>
      </c>
      <c r="M813" s="1" t="s">
        <v>9032</v>
      </c>
      <c r="N813" s="1" t="s">
        <v>9031</v>
      </c>
    </row>
    <row r="814" spans="1:14" x14ac:dyDescent="0.35">
      <c r="A814" s="1" t="s">
        <v>4321</v>
      </c>
      <c r="B814" s="3" t="s">
        <v>2248</v>
      </c>
      <c r="C814" s="1" t="s">
        <v>2414</v>
      </c>
      <c r="D814" s="1" t="s">
        <v>9030</v>
      </c>
      <c r="E814" s="1" t="str">
        <f>"2360"</f>
        <v>2360</v>
      </c>
      <c r="F814" s="1" t="str">
        <f>"015900776"</f>
        <v>015900776</v>
      </c>
      <c r="G814" s="1" t="s">
        <v>14</v>
      </c>
      <c r="H814" s="1" t="s">
        <v>15</v>
      </c>
      <c r="I814" s="3" t="str">
        <f>"1"</f>
        <v>1</v>
      </c>
      <c r="J814" s="3" t="str">
        <f>"329943"</f>
        <v>329943</v>
      </c>
      <c r="K814" s="2">
        <v>45883</v>
      </c>
      <c r="L814" s="2">
        <v>45918</v>
      </c>
      <c r="M814" s="1" t="s">
        <v>9029</v>
      </c>
      <c r="N814" s="1" t="s">
        <v>9028</v>
      </c>
    </row>
    <row r="815" spans="1:14" x14ac:dyDescent="0.35">
      <c r="A815" s="1" t="s">
        <v>4321</v>
      </c>
      <c r="B815" s="3" t="s">
        <v>601</v>
      </c>
      <c r="C815" s="1" t="s">
        <v>602</v>
      </c>
      <c r="D815" s="1" t="s">
        <v>9027</v>
      </c>
      <c r="E815" s="1" t="str">
        <f>"2320"</f>
        <v>2320</v>
      </c>
      <c r="F815" s="1" t="s">
        <v>274</v>
      </c>
      <c r="G815" s="1" t="s">
        <v>275</v>
      </c>
      <c r="H815" s="1" t="s">
        <v>15</v>
      </c>
      <c r="I815" s="3" t="str">
        <f>"1"</f>
        <v>1</v>
      </c>
      <c r="J815" s="3" t="str">
        <f>"40000"</f>
        <v>40000</v>
      </c>
      <c r="K815" s="2">
        <v>45916</v>
      </c>
      <c r="L815" s="2">
        <v>45917</v>
      </c>
      <c r="M815" s="1" t="s">
        <v>9026</v>
      </c>
      <c r="N815" s="1" t="s">
        <v>9025</v>
      </c>
    </row>
    <row r="816" spans="1:14" x14ac:dyDescent="0.35">
      <c r="A816" s="1" t="s">
        <v>4321</v>
      </c>
      <c r="B816" s="3" t="s">
        <v>3183</v>
      </c>
      <c r="C816" s="1" t="s">
        <v>3184</v>
      </c>
      <c r="D816" s="1" t="s">
        <v>9024</v>
      </c>
      <c r="E816" s="1" t="str">
        <f>"2320"</f>
        <v>2320</v>
      </c>
      <c r="F816" s="1" t="s">
        <v>274</v>
      </c>
      <c r="G816" s="1" t="s">
        <v>275</v>
      </c>
      <c r="H816" s="1" t="s">
        <v>15</v>
      </c>
      <c r="I816" s="3" t="str">
        <f>"1"</f>
        <v>1</v>
      </c>
      <c r="J816" s="3" t="str">
        <f>"40000"</f>
        <v>40000</v>
      </c>
      <c r="K816" s="2">
        <v>45916</v>
      </c>
      <c r="L816" s="2">
        <v>45917</v>
      </c>
      <c r="M816" s="1" t="s">
        <v>9023</v>
      </c>
      <c r="N816" s="1" t="s">
        <v>9022</v>
      </c>
    </row>
    <row r="817" spans="1:14" x14ac:dyDescent="0.35">
      <c r="A817" s="1" t="s">
        <v>4321</v>
      </c>
      <c r="B817" s="3" t="s">
        <v>2248</v>
      </c>
      <c r="C817" s="1" t="s">
        <v>2265</v>
      </c>
      <c r="D817" s="1" t="s">
        <v>9021</v>
      </c>
      <c r="E817" s="1" t="str">
        <f>"6645"</f>
        <v>6645</v>
      </c>
      <c r="F817" s="1" t="s">
        <v>2796</v>
      </c>
      <c r="G817" s="1" t="s">
        <v>2797</v>
      </c>
      <c r="H817" s="1" t="s">
        <v>15</v>
      </c>
      <c r="I817" s="3" t="str">
        <f>"7"</f>
        <v>7</v>
      </c>
      <c r="J817" s="3">
        <v>68.540000000000006</v>
      </c>
      <c r="K817" s="2">
        <v>45916</v>
      </c>
      <c r="L817" s="2">
        <v>45917</v>
      </c>
      <c r="M817" s="1" t="s">
        <v>9020</v>
      </c>
      <c r="N817" s="1" t="s">
        <v>4343</v>
      </c>
    </row>
    <row r="818" spans="1:14" x14ac:dyDescent="0.35">
      <c r="A818" s="1" t="s">
        <v>4321</v>
      </c>
      <c r="B818" s="3" t="s">
        <v>2248</v>
      </c>
      <c r="C818" s="1" t="s">
        <v>2265</v>
      </c>
      <c r="D818" s="1" t="s">
        <v>9019</v>
      </c>
      <c r="E818" s="1" t="str">
        <f>"6645"</f>
        <v>6645</v>
      </c>
      <c r="F818" s="1" t="s">
        <v>2796</v>
      </c>
      <c r="G818" s="1" t="s">
        <v>2797</v>
      </c>
      <c r="H818" s="1" t="s">
        <v>15</v>
      </c>
      <c r="I818" s="3" t="str">
        <f>"5"</f>
        <v>5</v>
      </c>
      <c r="J818" s="3" t="str">
        <f>"68"</f>
        <v>68</v>
      </c>
      <c r="K818" s="2">
        <v>45916</v>
      </c>
      <c r="L818" s="2">
        <v>45917</v>
      </c>
      <c r="M818" s="1" t="s">
        <v>9018</v>
      </c>
      <c r="N818" s="1" t="s">
        <v>4343</v>
      </c>
    </row>
    <row r="819" spans="1:14" x14ac:dyDescent="0.35">
      <c r="A819" s="1" t="s">
        <v>4321</v>
      </c>
      <c r="B819" s="3" t="s">
        <v>2000</v>
      </c>
      <c r="C819" s="1" t="s">
        <v>2051</v>
      </c>
      <c r="D819" s="1" t="s">
        <v>9017</v>
      </c>
      <c r="E819" s="1" t="str">
        <f>"1240"</f>
        <v>1240</v>
      </c>
      <c r="F819" s="1" t="str">
        <f>"016785336"</f>
        <v>016785336</v>
      </c>
      <c r="G819" s="1" t="s">
        <v>269</v>
      </c>
      <c r="H819" s="1" t="s">
        <v>15</v>
      </c>
      <c r="I819" s="3" t="str">
        <f>"23"</f>
        <v>23</v>
      </c>
      <c r="J819" s="3" t="str">
        <f>"352"</f>
        <v>352</v>
      </c>
      <c r="K819" s="2">
        <v>45916</v>
      </c>
      <c r="L819" s="2">
        <v>45917</v>
      </c>
      <c r="M819" s="1" t="s">
        <v>9016</v>
      </c>
      <c r="N819" s="1" t="s">
        <v>4343</v>
      </c>
    </row>
    <row r="820" spans="1:14" x14ac:dyDescent="0.35">
      <c r="A820" s="1" t="s">
        <v>4321</v>
      </c>
      <c r="B820" s="3" t="s">
        <v>2000</v>
      </c>
      <c r="C820" s="1" t="s">
        <v>2051</v>
      </c>
      <c r="D820" s="1" t="s">
        <v>9015</v>
      </c>
      <c r="E820" s="1" t="str">
        <f>"1240"</f>
        <v>1240</v>
      </c>
      <c r="F820" s="1" t="str">
        <f>"016785336"</f>
        <v>016785336</v>
      </c>
      <c r="G820" s="1" t="s">
        <v>269</v>
      </c>
      <c r="H820" s="1" t="s">
        <v>15</v>
      </c>
      <c r="I820" s="3" t="str">
        <f>"7"</f>
        <v>7</v>
      </c>
      <c r="J820" s="3" t="str">
        <f>"352"</f>
        <v>352</v>
      </c>
      <c r="K820" s="2">
        <v>45916</v>
      </c>
      <c r="L820" s="2">
        <v>45917</v>
      </c>
      <c r="M820" s="1" t="s">
        <v>9014</v>
      </c>
      <c r="N820" s="1" t="s">
        <v>4343</v>
      </c>
    </row>
    <row r="821" spans="1:14" x14ac:dyDescent="0.35">
      <c r="A821" s="1" t="s">
        <v>4321</v>
      </c>
      <c r="B821" s="3" t="s">
        <v>3105</v>
      </c>
      <c r="C821" s="1" t="s">
        <v>3154</v>
      </c>
      <c r="D821" s="1" t="s">
        <v>9013</v>
      </c>
      <c r="E821" s="1" t="str">
        <f>"6645"</f>
        <v>6645</v>
      </c>
      <c r="F821" s="1" t="s">
        <v>2796</v>
      </c>
      <c r="G821" s="1" t="s">
        <v>2797</v>
      </c>
      <c r="H821" s="1" t="s">
        <v>15</v>
      </c>
      <c r="I821" s="3" t="str">
        <f>"10"</f>
        <v>10</v>
      </c>
      <c r="J821" s="3">
        <v>68.540000000000006</v>
      </c>
      <c r="K821" s="2">
        <v>45916</v>
      </c>
      <c r="L821" s="2">
        <v>45917</v>
      </c>
      <c r="M821" s="1" t="s">
        <v>9012</v>
      </c>
      <c r="N821" s="1" t="s">
        <v>4343</v>
      </c>
    </row>
    <row r="822" spans="1:14" x14ac:dyDescent="0.35">
      <c r="A822" s="1" t="s">
        <v>4321</v>
      </c>
      <c r="B822" s="3" t="s">
        <v>3179</v>
      </c>
      <c r="C822" s="1" t="s">
        <v>9011</v>
      </c>
      <c r="D822" s="1" t="s">
        <v>9010</v>
      </c>
      <c r="E822" s="1" t="str">
        <f>"1240"</f>
        <v>1240</v>
      </c>
      <c r="F822" s="1" t="str">
        <f>"016785336"</f>
        <v>016785336</v>
      </c>
      <c r="G822" s="1" t="s">
        <v>269</v>
      </c>
      <c r="H822" s="1" t="s">
        <v>15</v>
      </c>
      <c r="I822" s="3" t="str">
        <f>"15"</f>
        <v>15</v>
      </c>
      <c r="J822" s="3" t="str">
        <f>"352"</f>
        <v>352</v>
      </c>
      <c r="K822" s="2">
        <v>45916</v>
      </c>
      <c r="L822" s="2">
        <v>45917</v>
      </c>
      <c r="M822" s="1" t="s">
        <v>9009</v>
      </c>
      <c r="N822" s="1" t="s">
        <v>4343</v>
      </c>
    </row>
    <row r="823" spans="1:14" x14ac:dyDescent="0.35">
      <c r="A823" s="1" t="s">
        <v>4321</v>
      </c>
      <c r="B823" s="3" t="s">
        <v>4087</v>
      </c>
      <c r="C823" s="1" t="s">
        <v>4143</v>
      </c>
      <c r="D823" s="1" t="s">
        <v>9008</v>
      </c>
      <c r="E823" s="1" t="str">
        <f>"6645"</f>
        <v>6645</v>
      </c>
      <c r="F823" s="1" t="s">
        <v>2796</v>
      </c>
      <c r="G823" s="1" t="s">
        <v>2797</v>
      </c>
      <c r="H823" s="1" t="s">
        <v>15</v>
      </c>
      <c r="I823" s="3" t="str">
        <f>"3"</f>
        <v>3</v>
      </c>
      <c r="J823" s="3" t="str">
        <f>"68"</f>
        <v>68</v>
      </c>
      <c r="K823" s="2">
        <v>45915</v>
      </c>
      <c r="L823" s="2">
        <v>45917</v>
      </c>
      <c r="M823" s="1" t="s">
        <v>9005</v>
      </c>
      <c r="N823" s="1" t="s">
        <v>9007</v>
      </c>
    </row>
    <row r="824" spans="1:14" x14ac:dyDescent="0.35">
      <c r="A824" s="1" t="s">
        <v>4321</v>
      </c>
      <c r="B824" s="3" t="s">
        <v>4087</v>
      </c>
      <c r="C824" s="1" t="s">
        <v>4143</v>
      </c>
      <c r="D824" s="1" t="s">
        <v>9006</v>
      </c>
      <c r="E824" s="1" t="str">
        <f>"6645"</f>
        <v>6645</v>
      </c>
      <c r="F824" s="1" t="s">
        <v>2796</v>
      </c>
      <c r="G824" s="1" t="s">
        <v>2797</v>
      </c>
      <c r="H824" s="1" t="s">
        <v>15</v>
      </c>
      <c r="I824" s="3" t="str">
        <f>"3"</f>
        <v>3</v>
      </c>
      <c r="J824" s="3">
        <v>68.540000000000006</v>
      </c>
      <c r="K824" s="2">
        <v>45915</v>
      </c>
      <c r="L824" s="2">
        <v>45917</v>
      </c>
      <c r="M824" s="1" t="s">
        <v>9005</v>
      </c>
      <c r="N824" s="1" t="s">
        <v>9004</v>
      </c>
    </row>
    <row r="825" spans="1:14" x14ac:dyDescent="0.35">
      <c r="A825" s="1" t="s">
        <v>4321</v>
      </c>
      <c r="B825" s="3" t="s">
        <v>806</v>
      </c>
      <c r="C825" s="1" t="s">
        <v>870</v>
      </c>
      <c r="D825" s="1" t="s">
        <v>9003</v>
      </c>
      <c r="E825" s="1" t="str">
        <f>"8340"</f>
        <v>8340</v>
      </c>
      <c r="F825" s="1" t="str">
        <f>"015350134"</f>
        <v>015350134</v>
      </c>
      <c r="G825" s="1" t="s">
        <v>957</v>
      </c>
      <c r="H825" s="1" t="s">
        <v>15</v>
      </c>
      <c r="I825" s="3" t="str">
        <f>"51"</f>
        <v>51</v>
      </c>
      <c r="J825" s="3">
        <v>451.44</v>
      </c>
      <c r="K825" s="2">
        <v>45915</v>
      </c>
      <c r="L825" s="2">
        <v>45917</v>
      </c>
      <c r="M825" s="1" t="s">
        <v>9000</v>
      </c>
      <c r="N825" s="1" t="s">
        <v>9002</v>
      </c>
    </row>
    <row r="826" spans="1:14" x14ac:dyDescent="0.35">
      <c r="A826" s="1" t="s">
        <v>4321</v>
      </c>
      <c r="B826" s="3" t="s">
        <v>806</v>
      </c>
      <c r="C826" s="1" t="s">
        <v>870</v>
      </c>
      <c r="D826" s="1" t="s">
        <v>9001</v>
      </c>
      <c r="E826" s="1" t="str">
        <f>"8340"</f>
        <v>8340</v>
      </c>
      <c r="F826" s="1" t="str">
        <f>"015350134"</f>
        <v>015350134</v>
      </c>
      <c r="G826" s="1" t="s">
        <v>957</v>
      </c>
      <c r="H826" s="1" t="s">
        <v>15</v>
      </c>
      <c r="I826" s="3" t="str">
        <f>"70"</f>
        <v>70</v>
      </c>
      <c r="J826" s="3">
        <v>451.44</v>
      </c>
      <c r="K826" s="2">
        <v>45915</v>
      </c>
      <c r="L826" s="2">
        <v>45917</v>
      </c>
      <c r="M826" s="1" t="s">
        <v>9000</v>
      </c>
      <c r="N826" s="1" t="s">
        <v>8999</v>
      </c>
    </row>
    <row r="827" spans="1:14" x14ac:dyDescent="0.35">
      <c r="A827" s="1" t="s">
        <v>4321</v>
      </c>
      <c r="B827" s="3" t="s">
        <v>1699</v>
      </c>
      <c r="C827" s="1" t="s">
        <v>8998</v>
      </c>
      <c r="D827" s="1" t="s">
        <v>8997</v>
      </c>
      <c r="E827" s="1" t="str">
        <f>"4220"</f>
        <v>4220</v>
      </c>
      <c r="F827" s="1" t="str">
        <f>"016869727"</f>
        <v>016869727</v>
      </c>
      <c r="G827" s="1" t="s">
        <v>8996</v>
      </c>
      <c r="H827" s="1" t="s">
        <v>847</v>
      </c>
      <c r="I827" s="3" t="str">
        <f>"10"</f>
        <v>10</v>
      </c>
      <c r="J827" s="3">
        <v>99.04</v>
      </c>
      <c r="K827" s="2">
        <v>45915</v>
      </c>
      <c r="L827" s="2">
        <v>45917</v>
      </c>
      <c r="M827" s="1" t="s">
        <v>8995</v>
      </c>
      <c r="N827" s="1" t="s">
        <v>8994</v>
      </c>
    </row>
    <row r="828" spans="1:14" x14ac:dyDescent="0.35">
      <c r="A828" s="1" t="s">
        <v>4321</v>
      </c>
      <c r="B828" s="3" t="s">
        <v>1699</v>
      </c>
      <c r="C828" s="1" t="s">
        <v>8998</v>
      </c>
      <c r="D828" s="1" t="s">
        <v>8997</v>
      </c>
      <c r="E828" s="1" t="str">
        <f>"4220"</f>
        <v>4220</v>
      </c>
      <c r="F828" s="1" t="str">
        <f>"016869727"</f>
        <v>016869727</v>
      </c>
      <c r="G828" s="1" t="s">
        <v>8996</v>
      </c>
      <c r="H828" s="1" t="s">
        <v>847</v>
      </c>
      <c r="I828" s="3" t="str">
        <f>"10"</f>
        <v>10</v>
      </c>
      <c r="J828" s="3">
        <v>99.04</v>
      </c>
      <c r="K828" s="2">
        <v>45915</v>
      </c>
      <c r="L828" s="2">
        <v>45917</v>
      </c>
      <c r="M828" s="1" t="s">
        <v>8995</v>
      </c>
      <c r="N828" s="1" t="s">
        <v>8994</v>
      </c>
    </row>
    <row r="829" spans="1:14" x14ac:dyDescent="0.35">
      <c r="A829" s="1" t="s">
        <v>4321</v>
      </c>
      <c r="B829" s="3" t="s">
        <v>2456</v>
      </c>
      <c r="C829" s="1" t="s">
        <v>2457</v>
      </c>
      <c r="D829" s="1" t="s">
        <v>8993</v>
      </c>
      <c r="E829" s="1" t="str">
        <f>"1240"</f>
        <v>1240</v>
      </c>
      <c r="F829" s="1" t="str">
        <f>"016785336"</f>
        <v>016785336</v>
      </c>
      <c r="G829" s="1" t="s">
        <v>269</v>
      </c>
      <c r="H829" s="1" t="s">
        <v>15</v>
      </c>
      <c r="I829" s="3" t="str">
        <f>"9"</f>
        <v>9</v>
      </c>
      <c r="J829" s="3" t="str">
        <f>"352"</f>
        <v>352</v>
      </c>
      <c r="K829" s="2">
        <v>45913</v>
      </c>
      <c r="L829" s="2">
        <v>45917</v>
      </c>
      <c r="M829" s="1" t="s">
        <v>8992</v>
      </c>
      <c r="N829" s="1" t="s">
        <v>4343</v>
      </c>
    </row>
    <row r="830" spans="1:14" x14ac:dyDescent="0.35">
      <c r="A830" s="1" t="s">
        <v>4321</v>
      </c>
      <c r="B830" s="3" t="s">
        <v>1944</v>
      </c>
      <c r="C830" s="1" t="s">
        <v>8687</v>
      </c>
      <c r="D830" s="1" t="s">
        <v>8991</v>
      </c>
      <c r="E830" s="1" t="str">
        <f>"6645"</f>
        <v>6645</v>
      </c>
      <c r="F830" s="1" t="s">
        <v>2796</v>
      </c>
      <c r="G830" s="1" t="s">
        <v>2797</v>
      </c>
      <c r="H830" s="1" t="s">
        <v>15</v>
      </c>
      <c r="I830" s="3" t="str">
        <f>"4"</f>
        <v>4</v>
      </c>
      <c r="J830" s="3">
        <v>68.540000000000006</v>
      </c>
      <c r="K830" s="2">
        <v>45913</v>
      </c>
      <c r="L830" s="2">
        <v>45917</v>
      </c>
      <c r="M830" s="1" t="s">
        <v>8990</v>
      </c>
      <c r="N830" s="1" t="s">
        <v>8989</v>
      </c>
    </row>
    <row r="831" spans="1:14" x14ac:dyDescent="0.35">
      <c r="A831" s="1" t="s">
        <v>4321</v>
      </c>
      <c r="B831" s="3" t="s">
        <v>1944</v>
      </c>
      <c r="C831" s="1" t="s">
        <v>8687</v>
      </c>
      <c r="D831" s="1" t="s">
        <v>8988</v>
      </c>
      <c r="E831" s="1" t="str">
        <f>"6645"</f>
        <v>6645</v>
      </c>
      <c r="F831" s="1" t="s">
        <v>2796</v>
      </c>
      <c r="G831" s="1" t="s">
        <v>2797</v>
      </c>
      <c r="H831" s="1" t="s">
        <v>15</v>
      </c>
      <c r="I831" s="3" t="str">
        <f>"1"</f>
        <v>1</v>
      </c>
      <c r="J831" s="3">
        <v>68.540000000000006</v>
      </c>
      <c r="K831" s="2">
        <v>45913</v>
      </c>
      <c r="L831" s="2">
        <v>45917</v>
      </c>
      <c r="M831" s="1" t="s">
        <v>8987</v>
      </c>
      <c r="N831" s="1" t="s">
        <v>8986</v>
      </c>
    </row>
    <row r="832" spans="1:14" x14ac:dyDescent="0.35">
      <c r="A832" s="1" t="s">
        <v>4321</v>
      </c>
      <c r="B832" s="3" t="s">
        <v>4087</v>
      </c>
      <c r="C832" s="1" t="s">
        <v>4143</v>
      </c>
      <c r="D832" s="1" t="s">
        <v>8985</v>
      </c>
      <c r="E832" s="1" t="str">
        <f>"8340"</f>
        <v>8340</v>
      </c>
      <c r="F832" s="1" t="str">
        <f>"016288864"</f>
        <v>016288864</v>
      </c>
      <c r="G832" s="1" t="s">
        <v>957</v>
      </c>
      <c r="H832" s="1" t="s">
        <v>15</v>
      </c>
      <c r="I832" s="3" t="str">
        <f>"6"</f>
        <v>6</v>
      </c>
      <c r="J832" s="3">
        <v>381.79</v>
      </c>
      <c r="K832" s="2">
        <v>45913</v>
      </c>
      <c r="L832" s="2">
        <v>45917</v>
      </c>
      <c r="M832" s="1" t="s">
        <v>8984</v>
      </c>
      <c r="N832" s="1" t="s">
        <v>8983</v>
      </c>
    </row>
    <row r="833" spans="1:14" x14ac:dyDescent="0.35">
      <c r="A833" s="1" t="s">
        <v>4321</v>
      </c>
      <c r="B833" s="3" t="s">
        <v>2494</v>
      </c>
      <c r="C833" s="1" t="s">
        <v>2521</v>
      </c>
      <c r="D833" s="1" t="s">
        <v>8982</v>
      </c>
      <c r="E833" s="1" t="str">
        <f>"2310"</f>
        <v>2310</v>
      </c>
      <c r="F833" s="1" t="s">
        <v>5555</v>
      </c>
      <c r="G833" s="1" t="s">
        <v>5554</v>
      </c>
      <c r="H833" s="1" t="s">
        <v>15</v>
      </c>
      <c r="I833" s="3" t="str">
        <f>"1"</f>
        <v>1</v>
      </c>
      <c r="J833" s="3" t="str">
        <f>"15000"</f>
        <v>15000</v>
      </c>
      <c r="K833" s="2">
        <v>45911</v>
      </c>
      <c r="L833" s="2">
        <v>45917</v>
      </c>
      <c r="M833" s="1" t="s">
        <v>8981</v>
      </c>
      <c r="N833" s="1" t="s">
        <v>8980</v>
      </c>
    </row>
    <row r="834" spans="1:14" x14ac:dyDescent="0.35">
      <c r="A834" s="1" t="s">
        <v>4321</v>
      </c>
      <c r="B834" s="3" t="s">
        <v>4087</v>
      </c>
      <c r="C834" s="1" t="s">
        <v>4143</v>
      </c>
      <c r="D834" s="1" t="s">
        <v>8979</v>
      </c>
      <c r="E834" s="1" t="str">
        <f>"7520"</f>
        <v>7520</v>
      </c>
      <c r="F834" s="1" t="str">
        <f>"012074167"</f>
        <v>012074167</v>
      </c>
      <c r="G834" s="1" t="s">
        <v>5966</v>
      </c>
      <c r="H834" s="1" t="s">
        <v>58</v>
      </c>
      <c r="I834" s="3" t="str">
        <f>"5"</f>
        <v>5</v>
      </c>
      <c r="J834" s="3">
        <v>17.059999999999999</v>
      </c>
      <c r="K834" s="2">
        <v>45911</v>
      </c>
      <c r="L834" s="2">
        <v>45917</v>
      </c>
      <c r="M834" s="1" t="s">
        <v>8978</v>
      </c>
      <c r="N834" s="1" t="s">
        <v>8977</v>
      </c>
    </row>
    <row r="835" spans="1:14" x14ac:dyDescent="0.35">
      <c r="A835" s="1" t="s">
        <v>4321</v>
      </c>
      <c r="B835" s="3" t="s">
        <v>2444</v>
      </c>
      <c r="C835" s="1" t="s">
        <v>2445</v>
      </c>
      <c r="D835" s="1" t="s">
        <v>8976</v>
      </c>
      <c r="E835" s="1" t="str">
        <f>"4220"</f>
        <v>4220</v>
      </c>
      <c r="F835" s="1" t="str">
        <f>"015357768"</f>
        <v>015357768</v>
      </c>
      <c r="G835" s="1" t="s">
        <v>158</v>
      </c>
      <c r="H835" s="1" t="s">
        <v>15</v>
      </c>
      <c r="I835" s="3" t="str">
        <f>"2"</f>
        <v>2</v>
      </c>
      <c r="J835" s="3">
        <v>438.59</v>
      </c>
      <c r="K835" s="2">
        <v>45853</v>
      </c>
      <c r="L835" s="2">
        <v>45917</v>
      </c>
      <c r="M835" s="1" t="s">
        <v>8975</v>
      </c>
      <c r="N835" s="1" t="s">
        <v>8974</v>
      </c>
    </row>
    <row r="836" spans="1:14" x14ac:dyDescent="0.35">
      <c r="A836" s="1" t="s">
        <v>4321</v>
      </c>
      <c r="B836" s="3" t="s">
        <v>2720</v>
      </c>
      <c r="C836" s="1" t="s">
        <v>2770</v>
      </c>
      <c r="D836" s="1" t="s">
        <v>8973</v>
      </c>
      <c r="E836" s="1" t="str">
        <f>"2320"</f>
        <v>2320</v>
      </c>
      <c r="F836" s="1" t="s">
        <v>274</v>
      </c>
      <c r="G836" s="1" t="s">
        <v>275</v>
      </c>
      <c r="H836" s="1" t="s">
        <v>15</v>
      </c>
      <c r="I836" s="3" t="str">
        <f>"1"</f>
        <v>1</v>
      </c>
      <c r="J836" s="3" t="str">
        <f>"40000"</f>
        <v>40000</v>
      </c>
      <c r="K836" s="2">
        <v>45916</v>
      </c>
      <c r="L836" s="2">
        <v>45916</v>
      </c>
      <c r="M836" s="1" t="s">
        <v>8972</v>
      </c>
      <c r="N836" s="1" t="s">
        <v>4343</v>
      </c>
    </row>
    <row r="837" spans="1:14" x14ac:dyDescent="0.35">
      <c r="A837" s="1" t="s">
        <v>4321</v>
      </c>
      <c r="B837" s="3" t="s">
        <v>2987</v>
      </c>
      <c r="C837" s="1" t="s">
        <v>8326</v>
      </c>
      <c r="D837" s="1" t="s">
        <v>8971</v>
      </c>
      <c r="E837" s="1" t="str">
        <f>"2320"</f>
        <v>2320</v>
      </c>
      <c r="F837" s="1" t="s">
        <v>274</v>
      </c>
      <c r="G837" s="1" t="s">
        <v>275</v>
      </c>
      <c r="H837" s="1" t="s">
        <v>15</v>
      </c>
      <c r="I837" s="3" t="str">
        <f>"1"</f>
        <v>1</v>
      </c>
      <c r="J837" s="3" t="str">
        <f>"40000"</f>
        <v>40000</v>
      </c>
      <c r="K837" s="2">
        <v>45916</v>
      </c>
      <c r="L837" s="2">
        <v>45916</v>
      </c>
      <c r="M837" s="1" t="s">
        <v>8970</v>
      </c>
      <c r="N837" s="1" t="s">
        <v>4343</v>
      </c>
    </row>
    <row r="838" spans="1:14" x14ac:dyDescent="0.35">
      <c r="A838" s="1" t="s">
        <v>4321</v>
      </c>
      <c r="B838" s="3" t="s">
        <v>2145</v>
      </c>
      <c r="C838" s="1" t="s">
        <v>2237</v>
      </c>
      <c r="D838" s="1" t="s">
        <v>8969</v>
      </c>
      <c r="E838" s="1" t="str">
        <f>"2320"</f>
        <v>2320</v>
      </c>
      <c r="F838" s="1" t="s">
        <v>274</v>
      </c>
      <c r="G838" s="1" t="s">
        <v>275</v>
      </c>
      <c r="H838" s="1" t="s">
        <v>15</v>
      </c>
      <c r="I838" s="3" t="str">
        <f>"1"</f>
        <v>1</v>
      </c>
      <c r="J838" s="3" t="str">
        <f>"40000"</f>
        <v>40000</v>
      </c>
      <c r="K838" s="2">
        <v>45916</v>
      </c>
      <c r="L838" s="2">
        <v>45916</v>
      </c>
      <c r="M838" s="1" t="s">
        <v>8968</v>
      </c>
      <c r="N838" s="1" t="s">
        <v>4343</v>
      </c>
    </row>
    <row r="839" spans="1:14" x14ac:dyDescent="0.35">
      <c r="A839" s="1" t="s">
        <v>4321</v>
      </c>
      <c r="B839" s="3" t="s">
        <v>3885</v>
      </c>
      <c r="C839" s="1" t="s">
        <v>4074</v>
      </c>
      <c r="D839" s="1" t="s">
        <v>8967</v>
      </c>
      <c r="E839" s="1" t="str">
        <f>"2320"</f>
        <v>2320</v>
      </c>
      <c r="F839" s="1" t="s">
        <v>274</v>
      </c>
      <c r="G839" s="1" t="s">
        <v>275</v>
      </c>
      <c r="H839" s="1" t="s">
        <v>15</v>
      </c>
      <c r="I839" s="3" t="str">
        <f>"1"</f>
        <v>1</v>
      </c>
      <c r="J839" s="3" t="str">
        <f>"40000"</f>
        <v>40000</v>
      </c>
      <c r="K839" s="2">
        <v>45916</v>
      </c>
      <c r="L839" s="2">
        <v>45916</v>
      </c>
      <c r="M839" s="1" t="s">
        <v>8966</v>
      </c>
      <c r="N839" s="1" t="s">
        <v>4343</v>
      </c>
    </row>
    <row r="840" spans="1:14" x14ac:dyDescent="0.35">
      <c r="A840" s="1" t="s">
        <v>4321</v>
      </c>
      <c r="B840" s="3" t="s">
        <v>93</v>
      </c>
      <c r="C840" s="1" t="s">
        <v>312</v>
      </c>
      <c r="D840" s="1" t="s">
        <v>8965</v>
      </c>
      <c r="E840" s="1" t="str">
        <f>"2340"</f>
        <v>2340</v>
      </c>
      <c r="F840" s="1" t="s">
        <v>647</v>
      </c>
      <c r="G840" s="1" t="s">
        <v>648</v>
      </c>
      <c r="H840" s="1" t="s">
        <v>15</v>
      </c>
      <c r="I840" s="3" t="str">
        <f>"1"</f>
        <v>1</v>
      </c>
      <c r="J840" s="3">
        <v>11964.82</v>
      </c>
      <c r="K840" s="2">
        <v>45914</v>
      </c>
      <c r="L840" s="2">
        <v>45916</v>
      </c>
      <c r="M840" s="1" t="s">
        <v>8964</v>
      </c>
      <c r="N840" s="1" t="s">
        <v>4387</v>
      </c>
    </row>
    <row r="841" spans="1:14" x14ac:dyDescent="0.35">
      <c r="A841" s="1" t="s">
        <v>4321</v>
      </c>
      <c r="B841" s="3" t="s">
        <v>2145</v>
      </c>
      <c r="C841" s="1" t="s">
        <v>2153</v>
      </c>
      <c r="D841" s="1" t="s">
        <v>8963</v>
      </c>
      <c r="E841" s="1" t="str">
        <f>"2330"</f>
        <v>2330</v>
      </c>
      <c r="F841" s="1" t="s">
        <v>70</v>
      </c>
      <c r="G841" s="1" t="s">
        <v>71</v>
      </c>
      <c r="H841" s="1" t="s">
        <v>15</v>
      </c>
      <c r="I841" s="3" t="str">
        <f>"1"</f>
        <v>1</v>
      </c>
      <c r="J841" s="3" t="str">
        <f>"14555"</f>
        <v>14555</v>
      </c>
      <c r="K841" s="2">
        <v>45913</v>
      </c>
      <c r="L841" s="2">
        <v>45916</v>
      </c>
      <c r="M841" s="1" t="s">
        <v>8962</v>
      </c>
      <c r="N841" s="1" t="s">
        <v>8961</v>
      </c>
    </row>
    <row r="842" spans="1:14" x14ac:dyDescent="0.35">
      <c r="A842" s="1" t="s">
        <v>4321</v>
      </c>
      <c r="B842" s="3" t="s">
        <v>3183</v>
      </c>
      <c r="C842" s="1" t="s">
        <v>3435</v>
      </c>
      <c r="D842" s="1" t="s">
        <v>8960</v>
      </c>
      <c r="E842" s="1" t="str">
        <f>"2310"</f>
        <v>2310</v>
      </c>
      <c r="F842" s="1" t="s">
        <v>2377</v>
      </c>
      <c r="G842" s="1" t="s">
        <v>2378</v>
      </c>
      <c r="H842" s="1" t="s">
        <v>15</v>
      </c>
      <c r="I842" s="3" t="str">
        <f>"1"</f>
        <v>1</v>
      </c>
      <c r="J842" s="3" t="str">
        <f>"27100"</f>
        <v>27100</v>
      </c>
      <c r="K842" s="2">
        <v>45913</v>
      </c>
      <c r="L842" s="2">
        <v>45916</v>
      </c>
      <c r="M842" s="1" t="s">
        <v>8959</v>
      </c>
      <c r="N842" s="1" t="s">
        <v>8958</v>
      </c>
    </row>
    <row r="843" spans="1:14" x14ac:dyDescent="0.35">
      <c r="A843" s="1" t="s">
        <v>4321</v>
      </c>
      <c r="B843" s="3" t="s">
        <v>93</v>
      </c>
      <c r="C843" s="1" t="s">
        <v>94</v>
      </c>
      <c r="D843" s="1" t="s">
        <v>8957</v>
      </c>
      <c r="E843" s="1" t="str">
        <f>"5965"</f>
        <v>5965</v>
      </c>
      <c r="F843" s="1" t="str">
        <f>"013909240"</f>
        <v>013909240</v>
      </c>
      <c r="G843" s="1" t="s">
        <v>22</v>
      </c>
      <c r="H843" s="1" t="s">
        <v>15</v>
      </c>
      <c r="I843" s="3" t="str">
        <f>"27"</f>
        <v>27</v>
      </c>
      <c r="J843" s="3">
        <v>402.34</v>
      </c>
      <c r="K843" s="2">
        <v>45908</v>
      </c>
      <c r="L843" s="2">
        <v>45916</v>
      </c>
      <c r="M843" s="1" t="s">
        <v>97</v>
      </c>
      <c r="N843" s="1" t="s">
        <v>8956</v>
      </c>
    </row>
    <row r="844" spans="1:14" x14ac:dyDescent="0.35">
      <c r="A844" s="1" t="s">
        <v>4321</v>
      </c>
      <c r="B844" s="3" t="s">
        <v>4087</v>
      </c>
      <c r="C844" s="1" t="s">
        <v>4143</v>
      </c>
      <c r="D844" s="1" t="s">
        <v>8955</v>
      </c>
      <c r="E844" s="1" t="str">
        <f>"7510"</f>
        <v>7510</v>
      </c>
      <c r="F844" s="1" t="str">
        <f>"000822520"</f>
        <v>000822520</v>
      </c>
      <c r="G844" s="1" t="s">
        <v>3987</v>
      </c>
      <c r="H844" s="1" t="s">
        <v>4183</v>
      </c>
      <c r="I844" s="3" t="str">
        <f>"1"</f>
        <v>1</v>
      </c>
      <c r="J844" s="3">
        <v>16.920000000000002</v>
      </c>
      <c r="K844" s="2">
        <v>45892</v>
      </c>
      <c r="L844" s="2">
        <v>45916</v>
      </c>
      <c r="M844" s="1" t="s">
        <v>8954</v>
      </c>
      <c r="N844" s="1" t="s">
        <v>8953</v>
      </c>
    </row>
    <row r="845" spans="1:14" x14ac:dyDescent="0.35">
      <c r="A845" s="1" t="s">
        <v>4321</v>
      </c>
      <c r="B845" s="3" t="s">
        <v>93</v>
      </c>
      <c r="C845" s="1" t="s">
        <v>369</v>
      </c>
      <c r="D845" s="1" t="s">
        <v>8952</v>
      </c>
      <c r="E845" s="1" t="str">
        <f>"2920"</f>
        <v>2920</v>
      </c>
      <c r="F845" s="1" t="s">
        <v>142</v>
      </c>
      <c r="G845" s="1" t="s">
        <v>143</v>
      </c>
      <c r="H845" s="1" t="s">
        <v>15</v>
      </c>
      <c r="I845" s="3" t="str">
        <f>"1"</f>
        <v>1</v>
      </c>
      <c r="J845" s="3" t="str">
        <f>"24000"</f>
        <v>24000</v>
      </c>
      <c r="K845" s="2">
        <v>45891</v>
      </c>
      <c r="L845" s="2">
        <v>45916</v>
      </c>
      <c r="M845" s="1" t="s">
        <v>8951</v>
      </c>
      <c r="N845" s="1" t="s">
        <v>4343</v>
      </c>
    </row>
    <row r="846" spans="1:14" x14ac:dyDescent="0.35">
      <c r="A846" s="1" t="s">
        <v>4321</v>
      </c>
      <c r="B846" s="3" t="s">
        <v>93</v>
      </c>
      <c r="C846" s="1" t="s">
        <v>387</v>
      </c>
      <c r="D846" s="1" t="s">
        <v>8950</v>
      </c>
      <c r="E846" s="1" t="str">
        <f>"2330"</f>
        <v>2330</v>
      </c>
      <c r="F846" s="1" t="s">
        <v>70</v>
      </c>
      <c r="G846" s="1" t="s">
        <v>71</v>
      </c>
      <c r="H846" s="1" t="s">
        <v>15</v>
      </c>
      <c r="I846" s="3" t="str">
        <f>"1"</f>
        <v>1</v>
      </c>
      <c r="J846" s="3" t="str">
        <f>"10000"</f>
        <v>10000</v>
      </c>
      <c r="K846" s="2">
        <v>45891</v>
      </c>
      <c r="L846" s="2">
        <v>45916</v>
      </c>
      <c r="M846" s="1" t="s">
        <v>8949</v>
      </c>
      <c r="N846" s="1" t="s">
        <v>4343</v>
      </c>
    </row>
    <row r="847" spans="1:14" x14ac:dyDescent="0.35">
      <c r="A847" s="1" t="s">
        <v>4321</v>
      </c>
      <c r="B847" s="3" t="s">
        <v>2720</v>
      </c>
      <c r="C847" s="1" t="s">
        <v>2765</v>
      </c>
      <c r="D847" s="1" t="s">
        <v>8948</v>
      </c>
      <c r="E847" s="1" t="str">
        <f>"2310"</f>
        <v>2310</v>
      </c>
      <c r="F847" s="1" t="s">
        <v>413</v>
      </c>
      <c r="G847" s="1" t="s">
        <v>414</v>
      </c>
      <c r="H847" s="1" t="s">
        <v>15</v>
      </c>
      <c r="I847" s="3" t="str">
        <f>"1"</f>
        <v>1</v>
      </c>
      <c r="J847" s="3">
        <v>12553.95</v>
      </c>
      <c r="K847" s="2">
        <v>45889</v>
      </c>
      <c r="L847" s="2">
        <v>45916</v>
      </c>
      <c r="M847" s="1" t="s">
        <v>8947</v>
      </c>
      <c r="N847" s="1" t="s">
        <v>8946</v>
      </c>
    </row>
    <row r="848" spans="1:14" x14ac:dyDescent="0.35">
      <c r="A848" s="1" t="s">
        <v>4321</v>
      </c>
      <c r="B848" s="3" t="s">
        <v>691</v>
      </c>
      <c r="C848" s="1" t="s">
        <v>731</v>
      </c>
      <c r="D848" s="1" t="s">
        <v>8945</v>
      </c>
      <c r="E848" s="1" t="str">
        <f>"8145"</f>
        <v>8145</v>
      </c>
      <c r="F848" s="1" t="s">
        <v>743</v>
      </c>
      <c r="G848" s="1" t="s">
        <v>744</v>
      </c>
      <c r="H848" s="1" t="s">
        <v>15</v>
      </c>
      <c r="I848" s="3" t="str">
        <f>"1"</f>
        <v>1</v>
      </c>
      <c r="J848" s="3" t="str">
        <f>"150"</f>
        <v>150</v>
      </c>
      <c r="K848" s="2">
        <v>45889</v>
      </c>
      <c r="L848" s="2">
        <v>45916</v>
      </c>
      <c r="M848" s="1" t="s">
        <v>8944</v>
      </c>
      <c r="N848" s="1" t="s">
        <v>8943</v>
      </c>
    </row>
    <row r="849" spans="1:14" x14ac:dyDescent="0.35">
      <c r="A849" s="1" t="s">
        <v>4321</v>
      </c>
      <c r="B849" s="3" t="s">
        <v>1944</v>
      </c>
      <c r="C849" s="1" t="s">
        <v>8936</v>
      </c>
      <c r="D849" s="1" t="s">
        <v>8942</v>
      </c>
      <c r="E849" s="1" t="str">
        <f>"2320"</f>
        <v>2320</v>
      </c>
      <c r="F849" s="1" t="s">
        <v>274</v>
      </c>
      <c r="G849" s="1" t="s">
        <v>275</v>
      </c>
      <c r="H849" s="1" t="s">
        <v>15</v>
      </c>
      <c r="I849" s="3" t="str">
        <f>"1"</f>
        <v>1</v>
      </c>
      <c r="J849" s="3" t="str">
        <f>"30000"</f>
        <v>30000</v>
      </c>
      <c r="K849" s="2">
        <v>45887</v>
      </c>
      <c r="L849" s="2">
        <v>45916</v>
      </c>
      <c r="M849" s="1" t="s">
        <v>8941</v>
      </c>
      <c r="N849" s="1" t="s">
        <v>8940</v>
      </c>
    </row>
    <row r="850" spans="1:14" x14ac:dyDescent="0.35">
      <c r="A850" s="1" t="s">
        <v>4321</v>
      </c>
      <c r="B850" s="3" t="s">
        <v>1944</v>
      </c>
      <c r="C850" s="1" t="s">
        <v>8936</v>
      </c>
      <c r="D850" s="1" t="s">
        <v>8939</v>
      </c>
      <c r="E850" s="1" t="str">
        <f>"2320"</f>
        <v>2320</v>
      </c>
      <c r="F850" s="1" t="s">
        <v>274</v>
      </c>
      <c r="G850" s="1" t="s">
        <v>275</v>
      </c>
      <c r="H850" s="1" t="s">
        <v>15</v>
      </c>
      <c r="I850" s="3" t="str">
        <f>"1"</f>
        <v>1</v>
      </c>
      <c r="J850" s="3" t="str">
        <f>"30000"</f>
        <v>30000</v>
      </c>
      <c r="K850" s="2">
        <v>45887</v>
      </c>
      <c r="L850" s="2">
        <v>45916</v>
      </c>
      <c r="M850" s="1" t="s">
        <v>8938</v>
      </c>
      <c r="N850" s="1" t="s">
        <v>8937</v>
      </c>
    </row>
    <row r="851" spans="1:14" x14ac:dyDescent="0.35">
      <c r="A851" s="1" t="s">
        <v>4321</v>
      </c>
      <c r="B851" s="3" t="s">
        <v>1944</v>
      </c>
      <c r="C851" s="1" t="s">
        <v>8936</v>
      </c>
      <c r="D851" s="1" t="s">
        <v>8935</v>
      </c>
      <c r="E851" s="1" t="str">
        <f>"2320"</f>
        <v>2320</v>
      </c>
      <c r="F851" s="1" t="s">
        <v>274</v>
      </c>
      <c r="G851" s="1" t="s">
        <v>275</v>
      </c>
      <c r="H851" s="1" t="s">
        <v>15</v>
      </c>
      <c r="I851" s="3" t="str">
        <f>"1"</f>
        <v>1</v>
      </c>
      <c r="J851" s="3" t="str">
        <f>"30000"</f>
        <v>30000</v>
      </c>
      <c r="K851" s="2">
        <v>45887</v>
      </c>
      <c r="L851" s="2">
        <v>45916</v>
      </c>
      <c r="M851" s="1" t="s">
        <v>8934</v>
      </c>
      <c r="N851" s="1" t="s">
        <v>8933</v>
      </c>
    </row>
    <row r="852" spans="1:14" x14ac:dyDescent="0.35">
      <c r="A852" s="1" t="s">
        <v>4321</v>
      </c>
      <c r="B852" s="3" t="s">
        <v>3183</v>
      </c>
      <c r="C852" s="1" t="s">
        <v>3435</v>
      </c>
      <c r="D852" s="1" t="s">
        <v>8932</v>
      </c>
      <c r="E852" s="1" t="str">
        <f>"2330"</f>
        <v>2330</v>
      </c>
      <c r="F852" s="1" t="str">
        <f>"015877978"</f>
        <v>015877978</v>
      </c>
      <c r="G852" s="1" t="s">
        <v>465</v>
      </c>
      <c r="H852" s="1" t="s">
        <v>15</v>
      </c>
      <c r="I852" s="3" t="str">
        <f>"1"</f>
        <v>1</v>
      </c>
      <c r="J852" s="3">
        <v>23819.96</v>
      </c>
      <c r="K852" s="2">
        <v>45885</v>
      </c>
      <c r="L852" s="2">
        <v>45916</v>
      </c>
      <c r="M852" s="1" t="s">
        <v>8931</v>
      </c>
      <c r="N852" s="1" t="s">
        <v>8930</v>
      </c>
    </row>
    <row r="853" spans="1:14" x14ac:dyDescent="0.35">
      <c r="A853" s="1" t="s">
        <v>4321</v>
      </c>
      <c r="B853" s="3" t="s">
        <v>2720</v>
      </c>
      <c r="C853" s="1" t="s">
        <v>2765</v>
      </c>
      <c r="D853" s="1" t="s">
        <v>8929</v>
      </c>
      <c r="E853" s="1" t="str">
        <f>"6115"</f>
        <v>6115</v>
      </c>
      <c r="F853" s="1" t="str">
        <f>"014619335"</f>
        <v>014619335</v>
      </c>
      <c r="G853" s="1" t="s">
        <v>435</v>
      </c>
      <c r="H853" s="1" t="s">
        <v>15</v>
      </c>
      <c r="I853" s="3" t="str">
        <f>"2"</f>
        <v>2</v>
      </c>
      <c r="J853" s="3">
        <v>26705.200000000001</v>
      </c>
      <c r="K853" s="2">
        <v>45915</v>
      </c>
      <c r="L853" s="2">
        <v>45915</v>
      </c>
      <c r="M853" s="1" t="s">
        <v>8928</v>
      </c>
    </row>
    <row r="854" spans="1:14" x14ac:dyDescent="0.35">
      <c r="A854" s="1" t="s">
        <v>4321</v>
      </c>
      <c r="B854" s="3" t="s">
        <v>3183</v>
      </c>
      <c r="C854" s="1" t="s">
        <v>3364</v>
      </c>
      <c r="D854" s="1" t="s">
        <v>8927</v>
      </c>
      <c r="E854" s="1" t="str">
        <f>"2340"</f>
        <v>2340</v>
      </c>
      <c r="F854" s="1" t="s">
        <v>647</v>
      </c>
      <c r="G854" s="1" t="s">
        <v>648</v>
      </c>
      <c r="H854" s="1" t="s">
        <v>15</v>
      </c>
      <c r="I854" s="3" t="str">
        <f>"1"</f>
        <v>1</v>
      </c>
      <c r="J854" s="3">
        <v>11964.82</v>
      </c>
      <c r="K854" s="2">
        <v>45914</v>
      </c>
      <c r="L854" s="2">
        <v>45915</v>
      </c>
      <c r="M854" s="1" t="s">
        <v>8926</v>
      </c>
      <c r="N854" s="1" t="s">
        <v>4343</v>
      </c>
    </row>
    <row r="855" spans="1:14" x14ac:dyDescent="0.35">
      <c r="A855" s="1" t="s">
        <v>4321</v>
      </c>
      <c r="B855" s="3" t="s">
        <v>3513</v>
      </c>
      <c r="C855" s="1" t="s">
        <v>3514</v>
      </c>
      <c r="D855" s="1" t="s">
        <v>8925</v>
      </c>
      <c r="E855" s="1" t="str">
        <f>"2340"</f>
        <v>2340</v>
      </c>
      <c r="F855" s="1" t="s">
        <v>647</v>
      </c>
      <c r="G855" s="1" t="s">
        <v>648</v>
      </c>
      <c r="H855" s="1" t="s">
        <v>15</v>
      </c>
      <c r="I855" s="3" t="str">
        <f>"1"</f>
        <v>1</v>
      </c>
      <c r="J855" s="3">
        <v>23418.93</v>
      </c>
      <c r="K855" s="2">
        <v>45913</v>
      </c>
      <c r="L855" s="2">
        <v>45915</v>
      </c>
      <c r="M855" s="1" t="s">
        <v>8923</v>
      </c>
      <c r="N855" s="1" t="s">
        <v>4343</v>
      </c>
    </row>
    <row r="856" spans="1:14" x14ac:dyDescent="0.35">
      <c r="A856" s="1" t="s">
        <v>4321</v>
      </c>
      <c r="B856" s="3" t="s">
        <v>3513</v>
      </c>
      <c r="C856" s="1" t="s">
        <v>3514</v>
      </c>
      <c r="D856" s="1" t="s">
        <v>8924</v>
      </c>
      <c r="E856" s="1" t="str">
        <f>"2340"</f>
        <v>2340</v>
      </c>
      <c r="F856" s="1" t="s">
        <v>647</v>
      </c>
      <c r="G856" s="1" t="s">
        <v>648</v>
      </c>
      <c r="H856" s="1" t="s">
        <v>15</v>
      </c>
      <c r="I856" s="3" t="str">
        <f>"1"</f>
        <v>1</v>
      </c>
      <c r="J856" s="3">
        <v>23418.93</v>
      </c>
      <c r="K856" s="2">
        <v>45913</v>
      </c>
      <c r="L856" s="2">
        <v>45915</v>
      </c>
      <c r="M856" s="1" t="s">
        <v>8923</v>
      </c>
      <c r="N856" s="1" t="s">
        <v>4343</v>
      </c>
    </row>
    <row r="857" spans="1:14" x14ac:dyDescent="0.35">
      <c r="A857" s="1" t="s">
        <v>4321</v>
      </c>
      <c r="B857" s="3" t="s">
        <v>3183</v>
      </c>
      <c r="C857" s="1" t="s">
        <v>3184</v>
      </c>
      <c r="D857" s="1" t="s">
        <v>8922</v>
      </c>
      <c r="E857" s="1" t="str">
        <f>"2340"</f>
        <v>2340</v>
      </c>
      <c r="F857" s="1" t="s">
        <v>647</v>
      </c>
      <c r="G857" s="1" t="s">
        <v>648</v>
      </c>
      <c r="H857" s="1" t="s">
        <v>15</v>
      </c>
      <c r="I857" s="3" t="str">
        <f>"1"</f>
        <v>1</v>
      </c>
      <c r="J857" s="3">
        <v>23418.93</v>
      </c>
      <c r="K857" s="2">
        <v>45913</v>
      </c>
      <c r="L857" s="2">
        <v>45915</v>
      </c>
      <c r="M857" s="1" t="s">
        <v>8917</v>
      </c>
      <c r="N857" s="1" t="s">
        <v>4343</v>
      </c>
    </row>
    <row r="858" spans="1:14" x14ac:dyDescent="0.35">
      <c r="A858" s="1" t="s">
        <v>4321</v>
      </c>
      <c r="B858" s="3" t="s">
        <v>3183</v>
      </c>
      <c r="C858" s="1" t="s">
        <v>3184</v>
      </c>
      <c r="D858" s="1" t="s">
        <v>8921</v>
      </c>
      <c r="E858" s="1" t="str">
        <f>"2340"</f>
        <v>2340</v>
      </c>
      <c r="F858" s="1" t="s">
        <v>647</v>
      </c>
      <c r="G858" s="1" t="s">
        <v>648</v>
      </c>
      <c r="H858" s="1" t="s">
        <v>15</v>
      </c>
      <c r="I858" s="3" t="str">
        <f>"1"</f>
        <v>1</v>
      </c>
      <c r="J858" s="3">
        <v>23418.93</v>
      </c>
      <c r="K858" s="2">
        <v>45913</v>
      </c>
      <c r="L858" s="2">
        <v>45915</v>
      </c>
      <c r="M858" s="1" t="s">
        <v>8917</v>
      </c>
      <c r="N858" s="1" t="s">
        <v>4343</v>
      </c>
    </row>
    <row r="859" spans="1:14" x14ac:dyDescent="0.35">
      <c r="A859" s="1" t="s">
        <v>4321</v>
      </c>
      <c r="B859" s="3" t="s">
        <v>3183</v>
      </c>
      <c r="C859" s="1" t="s">
        <v>3184</v>
      </c>
      <c r="D859" s="1" t="s">
        <v>8920</v>
      </c>
      <c r="E859" s="1" t="str">
        <f>"2340"</f>
        <v>2340</v>
      </c>
      <c r="F859" s="1" t="s">
        <v>647</v>
      </c>
      <c r="G859" s="1" t="s">
        <v>648</v>
      </c>
      <c r="H859" s="1" t="s">
        <v>15</v>
      </c>
      <c r="I859" s="3" t="str">
        <f>"1"</f>
        <v>1</v>
      </c>
      <c r="J859" s="3">
        <v>23418.93</v>
      </c>
      <c r="K859" s="2">
        <v>45913</v>
      </c>
      <c r="L859" s="2">
        <v>45915</v>
      </c>
      <c r="M859" s="1" t="s">
        <v>8917</v>
      </c>
      <c r="N859" s="1" t="s">
        <v>4343</v>
      </c>
    </row>
    <row r="860" spans="1:14" x14ac:dyDescent="0.35">
      <c r="A860" s="1" t="s">
        <v>4321</v>
      </c>
      <c r="B860" s="3" t="s">
        <v>3183</v>
      </c>
      <c r="C860" s="1" t="s">
        <v>3184</v>
      </c>
      <c r="D860" s="1" t="s">
        <v>8919</v>
      </c>
      <c r="E860" s="1" t="str">
        <f>"2340"</f>
        <v>2340</v>
      </c>
      <c r="F860" s="1" t="s">
        <v>647</v>
      </c>
      <c r="G860" s="1" t="s">
        <v>648</v>
      </c>
      <c r="H860" s="1" t="s">
        <v>15</v>
      </c>
      <c r="I860" s="3" t="str">
        <f>"1"</f>
        <v>1</v>
      </c>
      <c r="J860" s="3">
        <v>23418.93</v>
      </c>
      <c r="K860" s="2">
        <v>45913</v>
      </c>
      <c r="L860" s="2">
        <v>45915</v>
      </c>
      <c r="M860" s="1" t="s">
        <v>8917</v>
      </c>
      <c r="N860" s="1" t="s">
        <v>4343</v>
      </c>
    </row>
    <row r="861" spans="1:14" x14ac:dyDescent="0.35">
      <c r="A861" s="1" t="s">
        <v>4321</v>
      </c>
      <c r="B861" s="3" t="s">
        <v>3183</v>
      </c>
      <c r="C861" s="1" t="s">
        <v>3184</v>
      </c>
      <c r="D861" s="1" t="s">
        <v>8918</v>
      </c>
      <c r="E861" s="1" t="str">
        <f>"2340"</f>
        <v>2340</v>
      </c>
      <c r="F861" s="1" t="s">
        <v>647</v>
      </c>
      <c r="G861" s="1" t="s">
        <v>648</v>
      </c>
      <c r="H861" s="1" t="s">
        <v>15</v>
      </c>
      <c r="I861" s="3" t="str">
        <f>"1"</f>
        <v>1</v>
      </c>
      <c r="J861" s="3">
        <v>23418.93</v>
      </c>
      <c r="K861" s="2">
        <v>45913</v>
      </c>
      <c r="L861" s="2">
        <v>45915</v>
      </c>
      <c r="M861" s="1" t="s">
        <v>8917</v>
      </c>
      <c r="N861" s="1" t="s">
        <v>4343</v>
      </c>
    </row>
    <row r="862" spans="1:14" x14ac:dyDescent="0.35">
      <c r="A862" s="1" t="s">
        <v>4321</v>
      </c>
      <c r="B862" s="3" t="s">
        <v>1699</v>
      </c>
      <c r="C862" s="1" t="s">
        <v>1726</v>
      </c>
      <c r="D862" s="1" t="s">
        <v>8916</v>
      </c>
      <c r="E862" s="1" t="str">
        <f>"2340"</f>
        <v>2340</v>
      </c>
      <c r="F862" s="1" t="s">
        <v>647</v>
      </c>
      <c r="G862" s="1" t="s">
        <v>648</v>
      </c>
      <c r="H862" s="1" t="s">
        <v>15</v>
      </c>
      <c r="I862" s="3" t="str">
        <f>"1"</f>
        <v>1</v>
      </c>
      <c r="J862" s="3">
        <v>23418.93</v>
      </c>
      <c r="K862" s="2">
        <v>45913</v>
      </c>
      <c r="L862" s="2">
        <v>45915</v>
      </c>
      <c r="M862" s="1" t="s">
        <v>8915</v>
      </c>
      <c r="N862" s="1" t="s">
        <v>4343</v>
      </c>
    </row>
    <row r="863" spans="1:14" x14ac:dyDescent="0.35">
      <c r="A863" s="1" t="s">
        <v>4321</v>
      </c>
      <c r="B863" s="3" t="s">
        <v>1699</v>
      </c>
      <c r="C863" s="1" t="s">
        <v>1726</v>
      </c>
      <c r="D863" s="1" t="s">
        <v>8914</v>
      </c>
      <c r="E863" s="1" t="str">
        <f>"2340"</f>
        <v>2340</v>
      </c>
      <c r="F863" s="1" t="s">
        <v>647</v>
      </c>
      <c r="G863" s="1" t="s">
        <v>648</v>
      </c>
      <c r="H863" s="1" t="s">
        <v>15</v>
      </c>
      <c r="I863" s="3" t="str">
        <f>"1"</f>
        <v>1</v>
      </c>
      <c r="J863" s="3">
        <v>23418.93</v>
      </c>
      <c r="K863" s="2">
        <v>45913</v>
      </c>
      <c r="L863" s="2">
        <v>45915</v>
      </c>
      <c r="M863" s="1" t="s">
        <v>8900</v>
      </c>
      <c r="N863" s="1" t="s">
        <v>4343</v>
      </c>
    </row>
    <row r="864" spans="1:14" x14ac:dyDescent="0.35">
      <c r="A864" s="1" t="s">
        <v>4321</v>
      </c>
      <c r="B864" s="3" t="s">
        <v>1699</v>
      </c>
      <c r="C864" s="1" t="s">
        <v>1726</v>
      </c>
      <c r="D864" s="1" t="s">
        <v>8913</v>
      </c>
      <c r="E864" s="1" t="str">
        <f>"2340"</f>
        <v>2340</v>
      </c>
      <c r="F864" s="1" t="s">
        <v>647</v>
      </c>
      <c r="G864" s="1" t="s">
        <v>648</v>
      </c>
      <c r="H864" s="1" t="s">
        <v>15</v>
      </c>
      <c r="I864" s="3" t="str">
        <f>"1"</f>
        <v>1</v>
      </c>
      <c r="J864" s="3">
        <v>23418.93</v>
      </c>
      <c r="K864" s="2">
        <v>45913</v>
      </c>
      <c r="L864" s="2">
        <v>45915</v>
      </c>
      <c r="M864" s="1" t="s">
        <v>8900</v>
      </c>
      <c r="N864" s="1" t="s">
        <v>4343</v>
      </c>
    </row>
    <row r="865" spans="1:14" x14ac:dyDescent="0.35">
      <c r="A865" s="1" t="s">
        <v>4321</v>
      </c>
      <c r="B865" s="3" t="s">
        <v>1699</v>
      </c>
      <c r="C865" s="1" t="s">
        <v>1726</v>
      </c>
      <c r="D865" s="1" t="s">
        <v>8912</v>
      </c>
      <c r="E865" s="1" t="str">
        <f>"2340"</f>
        <v>2340</v>
      </c>
      <c r="F865" s="1" t="s">
        <v>647</v>
      </c>
      <c r="G865" s="1" t="s">
        <v>648</v>
      </c>
      <c r="H865" s="1" t="s">
        <v>15</v>
      </c>
      <c r="I865" s="3" t="str">
        <f>"1"</f>
        <v>1</v>
      </c>
      <c r="J865" s="3">
        <v>23418.93</v>
      </c>
      <c r="K865" s="2">
        <v>45913</v>
      </c>
      <c r="L865" s="2">
        <v>45915</v>
      </c>
      <c r="M865" s="1" t="s">
        <v>8900</v>
      </c>
      <c r="N865" s="1" t="s">
        <v>4343</v>
      </c>
    </row>
    <row r="866" spans="1:14" x14ac:dyDescent="0.35">
      <c r="A866" s="1" t="s">
        <v>4321</v>
      </c>
      <c r="B866" s="3" t="s">
        <v>1699</v>
      </c>
      <c r="C866" s="1" t="s">
        <v>1726</v>
      </c>
      <c r="D866" s="1" t="s">
        <v>8911</v>
      </c>
      <c r="E866" s="1" t="str">
        <f>"2340"</f>
        <v>2340</v>
      </c>
      <c r="F866" s="1" t="s">
        <v>647</v>
      </c>
      <c r="G866" s="1" t="s">
        <v>648</v>
      </c>
      <c r="H866" s="1" t="s">
        <v>15</v>
      </c>
      <c r="I866" s="3" t="str">
        <f>"1"</f>
        <v>1</v>
      </c>
      <c r="J866" s="3">
        <v>23418.93</v>
      </c>
      <c r="K866" s="2">
        <v>45913</v>
      </c>
      <c r="L866" s="2">
        <v>45915</v>
      </c>
      <c r="M866" s="1" t="s">
        <v>8900</v>
      </c>
      <c r="N866" s="1" t="s">
        <v>4343</v>
      </c>
    </row>
    <row r="867" spans="1:14" x14ac:dyDescent="0.35">
      <c r="A867" s="1" t="s">
        <v>4321</v>
      </c>
      <c r="B867" s="3" t="s">
        <v>1699</v>
      </c>
      <c r="C867" s="1" t="s">
        <v>1726</v>
      </c>
      <c r="D867" s="1" t="s">
        <v>8910</v>
      </c>
      <c r="E867" s="1" t="str">
        <f>"2340"</f>
        <v>2340</v>
      </c>
      <c r="F867" s="1" t="s">
        <v>647</v>
      </c>
      <c r="G867" s="1" t="s">
        <v>648</v>
      </c>
      <c r="H867" s="1" t="s">
        <v>15</v>
      </c>
      <c r="I867" s="3" t="str">
        <f>"1"</f>
        <v>1</v>
      </c>
      <c r="J867" s="3">
        <v>23418.93</v>
      </c>
      <c r="K867" s="2">
        <v>45913</v>
      </c>
      <c r="L867" s="2">
        <v>45915</v>
      </c>
      <c r="M867" s="1" t="s">
        <v>8900</v>
      </c>
      <c r="N867" s="1" t="s">
        <v>4343</v>
      </c>
    </row>
    <row r="868" spans="1:14" x14ac:dyDescent="0.35">
      <c r="A868" s="1" t="s">
        <v>4321</v>
      </c>
      <c r="B868" s="3" t="s">
        <v>1699</v>
      </c>
      <c r="C868" s="1" t="s">
        <v>1726</v>
      </c>
      <c r="D868" s="1" t="s">
        <v>8909</v>
      </c>
      <c r="E868" s="1" t="str">
        <f>"2340"</f>
        <v>2340</v>
      </c>
      <c r="F868" s="1" t="s">
        <v>647</v>
      </c>
      <c r="G868" s="1" t="s">
        <v>648</v>
      </c>
      <c r="H868" s="1" t="s">
        <v>15</v>
      </c>
      <c r="I868" s="3" t="str">
        <f>"1"</f>
        <v>1</v>
      </c>
      <c r="J868" s="3">
        <v>23418.93</v>
      </c>
      <c r="K868" s="2">
        <v>45913</v>
      </c>
      <c r="L868" s="2">
        <v>45915</v>
      </c>
      <c r="M868" s="1" t="s">
        <v>8900</v>
      </c>
      <c r="N868" s="1" t="s">
        <v>4343</v>
      </c>
    </row>
    <row r="869" spans="1:14" x14ac:dyDescent="0.35">
      <c r="A869" s="1" t="s">
        <v>4321</v>
      </c>
      <c r="B869" s="3" t="s">
        <v>1699</v>
      </c>
      <c r="C869" s="1" t="s">
        <v>1726</v>
      </c>
      <c r="D869" s="1" t="s">
        <v>8908</v>
      </c>
      <c r="E869" s="1" t="str">
        <f>"2340"</f>
        <v>2340</v>
      </c>
      <c r="F869" s="1" t="s">
        <v>647</v>
      </c>
      <c r="G869" s="1" t="s">
        <v>648</v>
      </c>
      <c r="H869" s="1" t="s">
        <v>15</v>
      </c>
      <c r="I869" s="3" t="str">
        <f>"1"</f>
        <v>1</v>
      </c>
      <c r="J869" s="3">
        <v>23418.93</v>
      </c>
      <c r="K869" s="2">
        <v>45913</v>
      </c>
      <c r="L869" s="2">
        <v>45915</v>
      </c>
      <c r="M869" s="1" t="s">
        <v>8900</v>
      </c>
      <c r="N869" s="1" t="s">
        <v>4343</v>
      </c>
    </row>
    <row r="870" spans="1:14" x14ac:dyDescent="0.35">
      <c r="A870" s="1" t="s">
        <v>4321</v>
      </c>
      <c r="B870" s="3" t="s">
        <v>1699</v>
      </c>
      <c r="C870" s="1" t="s">
        <v>1726</v>
      </c>
      <c r="D870" s="1" t="s">
        <v>8907</v>
      </c>
      <c r="E870" s="1" t="str">
        <f>"2340"</f>
        <v>2340</v>
      </c>
      <c r="F870" s="1" t="s">
        <v>647</v>
      </c>
      <c r="G870" s="1" t="s">
        <v>648</v>
      </c>
      <c r="H870" s="1" t="s">
        <v>15</v>
      </c>
      <c r="I870" s="3" t="str">
        <f>"1"</f>
        <v>1</v>
      </c>
      <c r="J870" s="3">
        <v>23418.93</v>
      </c>
      <c r="K870" s="2">
        <v>45913</v>
      </c>
      <c r="L870" s="2">
        <v>45915</v>
      </c>
      <c r="M870" s="1" t="s">
        <v>8900</v>
      </c>
      <c r="N870" s="1" t="s">
        <v>4343</v>
      </c>
    </row>
    <row r="871" spans="1:14" x14ac:dyDescent="0.35">
      <c r="A871" s="1" t="s">
        <v>4321</v>
      </c>
      <c r="B871" s="3" t="s">
        <v>1699</v>
      </c>
      <c r="C871" s="1" t="s">
        <v>1726</v>
      </c>
      <c r="D871" s="1" t="s">
        <v>8906</v>
      </c>
      <c r="E871" s="1" t="str">
        <f>"2340"</f>
        <v>2340</v>
      </c>
      <c r="F871" s="1" t="s">
        <v>647</v>
      </c>
      <c r="G871" s="1" t="s">
        <v>648</v>
      </c>
      <c r="H871" s="1" t="s">
        <v>15</v>
      </c>
      <c r="I871" s="3" t="str">
        <f>"1"</f>
        <v>1</v>
      </c>
      <c r="J871" s="3">
        <v>23418.93</v>
      </c>
      <c r="K871" s="2">
        <v>45913</v>
      </c>
      <c r="L871" s="2">
        <v>45915</v>
      </c>
      <c r="M871" s="1" t="s">
        <v>8900</v>
      </c>
      <c r="N871" s="1" t="s">
        <v>4343</v>
      </c>
    </row>
    <row r="872" spans="1:14" x14ac:dyDescent="0.35">
      <c r="A872" s="1" t="s">
        <v>4321</v>
      </c>
      <c r="B872" s="3" t="s">
        <v>1699</v>
      </c>
      <c r="C872" s="1" t="s">
        <v>1726</v>
      </c>
      <c r="D872" s="1" t="s">
        <v>8905</v>
      </c>
      <c r="E872" s="1" t="str">
        <f>"2340"</f>
        <v>2340</v>
      </c>
      <c r="F872" s="1" t="s">
        <v>647</v>
      </c>
      <c r="G872" s="1" t="s">
        <v>648</v>
      </c>
      <c r="H872" s="1" t="s">
        <v>15</v>
      </c>
      <c r="I872" s="3" t="str">
        <f>"1"</f>
        <v>1</v>
      </c>
      <c r="J872" s="3">
        <v>23418.93</v>
      </c>
      <c r="K872" s="2">
        <v>45913</v>
      </c>
      <c r="L872" s="2">
        <v>45915</v>
      </c>
      <c r="M872" s="1" t="s">
        <v>8900</v>
      </c>
      <c r="N872" s="1" t="s">
        <v>4343</v>
      </c>
    </row>
    <row r="873" spans="1:14" x14ac:dyDescent="0.35">
      <c r="A873" s="1" t="s">
        <v>4321</v>
      </c>
      <c r="B873" s="3" t="s">
        <v>1699</v>
      </c>
      <c r="C873" s="1" t="s">
        <v>1726</v>
      </c>
      <c r="D873" s="1" t="s">
        <v>8904</v>
      </c>
      <c r="E873" s="1" t="str">
        <f>"2340"</f>
        <v>2340</v>
      </c>
      <c r="F873" s="1" t="s">
        <v>647</v>
      </c>
      <c r="G873" s="1" t="s">
        <v>648</v>
      </c>
      <c r="H873" s="1" t="s">
        <v>15</v>
      </c>
      <c r="I873" s="3" t="str">
        <f>"1"</f>
        <v>1</v>
      </c>
      <c r="J873" s="3">
        <v>23418.93</v>
      </c>
      <c r="K873" s="2">
        <v>45913</v>
      </c>
      <c r="L873" s="2">
        <v>45915</v>
      </c>
      <c r="M873" s="1" t="s">
        <v>8900</v>
      </c>
      <c r="N873" s="1" t="s">
        <v>4343</v>
      </c>
    </row>
    <row r="874" spans="1:14" x14ac:dyDescent="0.35">
      <c r="A874" s="1" t="s">
        <v>4321</v>
      </c>
      <c r="B874" s="3" t="s">
        <v>1699</v>
      </c>
      <c r="C874" s="1" t="s">
        <v>1726</v>
      </c>
      <c r="D874" s="1" t="s">
        <v>8903</v>
      </c>
      <c r="E874" s="1" t="str">
        <f>"2340"</f>
        <v>2340</v>
      </c>
      <c r="F874" s="1" t="s">
        <v>647</v>
      </c>
      <c r="G874" s="1" t="s">
        <v>648</v>
      </c>
      <c r="H874" s="1" t="s">
        <v>15</v>
      </c>
      <c r="I874" s="3" t="str">
        <f>"1"</f>
        <v>1</v>
      </c>
      <c r="J874" s="3">
        <v>23418.93</v>
      </c>
      <c r="K874" s="2">
        <v>45913</v>
      </c>
      <c r="L874" s="2">
        <v>45915</v>
      </c>
      <c r="M874" s="1" t="s">
        <v>8900</v>
      </c>
      <c r="N874" s="1" t="s">
        <v>4343</v>
      </c>
    </row>
    <row r="875" spans="1:14" x14ac:dyDescent="0.35">
      <c r="A875" s="1" t="s">
        <v>4321</v>
      </c>
      <c r="B875" s="3" t="s">
        <v>1699</v>
      </c>
      <c r="C875" s="1" t="s">
        <v>1726</v>
      </c>
      <c r="D875" s="1" t="s">
        <v>8902</v>
      </c>
      <c r="E875" s="1" t="str">
        <f>"2340"</f>
        <v>2340</v>
      </c>
      <c r="F875" s="1" t="s">
        <v>647</v>
      </c>
      <c r="G875" s="1" t="s">
        <v>648</v>
      </c>
      <c r="H875" s="1" t="s">
        <v>15</v>
      </c>
      <c r="I875" s="3" t="str">
        <f>"1"</f>
        <v>1</v>
      </c>
      <c r="J875" s="3">
        <v>23418.93</v>
      </c>
      <c r="K875" s="2">
        <v>45913</v>
      </c>
      <c r="L875" s="2">
        <v>45915</v>
      </c>
      <c r="M875" s="1" t="s">
        <v>8900</v>
      </c>
      <c r="N875" s="1" t="s">
        <v>4343</v>
      </c>
    </row>
    <row r="876" spans="1:14" x14ac:dyDescent="0.35">
      <c r="A876" s="1" t="s">
        <v>4321</v>
      </c>
      <c r="B876" s="3" t="s">
        <v>1699</v>
      </c>
      <c r="C876" s="1" t="s">
        <v>1726</v>
      </c>
      <c r="D876" s="1" t="s">
        <v>8901</v>
      </c>
      <c r="E876" s="1" t="str">
        <f>"2340"</f>
        <v>2340</v>
      </c>
      <c r="F876" s="1" t="s">
        <v>647</v>
      </c>
      <c r="G876" s="1" t="s">
        <v>648</v>
      </c>
      <c r="H876" s="1" t="s">
        <v>15</v>
      </c>
      <c r="I876" s="3" t="str">
        <f>"1"</f>
        <v>1</v>
      </c>
      <c r="J876" s="3">
        <v>23418.93</v>
      </c>
      <c r="K876" s="2">
        <v>45913</v>
      </c>
      <c r="L876" s="2">
        <v>45915</v>
      </c>
      <c r="M876" s="1" t="s">
        <v>8900</v>
      </c>
      <c r="N876" s="1" t="s">
        <v>4343</v>
      </c>
    </row>
    <row r="877" spans="1:14" x14ac:dyDescent="0.35">
      <c r="A877" s="1" t="s">
        <v>4321</v>
      </c>
      <c r="B877" s="3" t="s">
        <v>93</v>
      </c>
      <c r="C877" s="1" t="s">
        <v>4416</v>
      </c>
      <c r="D877" s="1" t="s">
        <v>8899</v>
      </c>
      <c r="E877" s="1" t="str">
        <f>"2340"</f>
        <v>2340</v>
      </c>
      <c r="F877" s="1" t="s">
        <v>647</v>
      </c>
      <c r="G877" s="1" t="s">
        <v>648</v>
      </c>
      <c r="H877" s="1" t="s">
        <v>15</v>
      </c>
      <c r="I877" s="3" t="str">
        <f>"1"</f>
        <v>1</v>
      </c>
      <c r="J877" s="3">
        <v>23418.93</v>
      </c>
      <c r="K877" s="2">
        <v>45913</v>
      </c>
      <c r="L877" s="2">
        <v>45915</v>
      </c>
      <c r="M877" s="1" t="s">
        <v>8897</v>
      </c>
      <c r="N877" s="1" t="s">
        <v>4343</v>
      </c>
    </row>
    <row r="878" spans="1:14" x14ac:dyDescent="0.35">
      <c r="A878" s="1" t="s">
        <v>4321</v>
      </c>
      <c r="B878" s="3" t="s">
        <v>93</v>
      </c>
      <c r="C878" s="1" t="s">
        <v>4416</v>
      </c>
      <c r="D878" s="1" t="s">
        <v>8898</v>
      </c>
      <c r="E878" s="1" t="str">
        <f>"2340"</f>
        <v>2340</v>
      </c>
      <c r="F878" s="1" t="s">
        <v>647</v>
      </c>
      <c r="G878" s="1" t="s">
        <v>648</v>
      </c>
      <c r="H878" s="1" t="s">
        <v>15</v>
      </c>
      <c r="I878" s="3" t="str">
        <f>"1"</f>
        <v>1</v>
      </c>
      <c r="J878" s="3">
        <v>23418.93</v>
      </c>
      <c r="K878" s="2">
        <v>45913</v>
      </c>
      <c r="L878" s="2">
        <v>45915</v>
      </c>
      <c r="M878" s="1" t="s">
        <v>8897</v>
      </c>
      <c r="N878" s="1" t="s">
        <v>4343</v>
      </c>
    </row>
    <row r="879" spans="1:14" x14ac:dyDescent="0.35">
      <c r="A879" s="1" t="s">
        <v>4321</v>
      </c>
      <c r="B879" s="3" t="s">
        <v>3183</v>
      </c>
      <c r="C879" s="1" t="s">
        <v>3256</v>
      </c>
      <c r="D879" s="1" t="s">
        <v>8896</v>
      </c>
      <c r="E879" s="1" t="str">
        <f>"2340"</f>
        <v>2340</v>
      </c>
      <c r="F879" s="1" t="s">
        <v>647</v>
      </c>
      <c r="G879" s="1" t="s">
        <v>648</v>
      </c>
      <c r="H879" s="1" t="s">
        <v>15</v>
      </c>
      <c r="I879" s="3" t="str">
        <f>"1"</f>
        <v>1</v>
      </c>
      <c r="J879" s="3">
        <v>23418.93</v>
      </c>
      <c r="K879" s="2">
        <v>45913</v>
      </c>
      <c r="L879" s="2">
        <v>45915</v>
      </c>
      <c r="M879" s="1" t="s">
        <v>8895</v>
      </c>
      <c r="N879" s="1" t="s">
        <v>4343</v>
      </c>
    </row>
    <row r="880" spans="1:14" x14ac:dyDescent="0.35">
      <c r="A880" s="1" t="s">
        <v>4321</v>
      </c>
      <c r="B880" s="3" t="s">
        <v>3183</v>
      </c>
      <c r="C880" s="1" t="s">
        <v>3256</v>
      </c>
      <c r="D880" s="1" t="s">
        <v>8894</v>
      </c>
      <c r="E880" s="1" t="str">
        <f>"2340"</f>
        <v>2340</v>
      </c>
      <c r="F880" s="1" t="s">
        <v>647</v>
      </c>
      <c r="G880" s="1" t="s">
        <v>648</v>
      </c>
      <c r="H880" s="1" t="s">
        <v>15</v>
      </c>
      <c r="I880" s="3" t="str">
        <f>"1"</f>
        <v>1</v>
      </c>
      <c r="J880" s="3">
        <v>23418.93</v>
      </c>
      <c r="K880" s="2">
        <v>45913</v>
      </c>
      <c r="L880" s="2">
        <v>45915</v>
      </c>
      <c r="M880" s="1" t="s">
        <v>8893</v>
      </c>
      <c r="N880" s="1" t="s">
        <v>4343</v>
      </c>
    </row>
    <row r="881" spans="1:14" x14ac:dyDescent="0.35">
      <c r="A881" s="1" t="s">
        <v>4321</v>
      </c>
      <c r="B881" s="3" t="s">
        <v>93</v>
      </c>
      <c r="C881" s="1" t="s">
        <v>267</v>
      </c>
      <c r="D881" s="1" t="s">
        <v>8892</v>
      </c>
      <c r="E881" s="1" t="str">
        <f>"2340"</f>
        <v>2340</v>
      </c>
      <c r="F881" s="1" t="s">
        <v>647</v>
      </c>
      <c r="G881" s="1" t="s">
        <v>648</v>
      </c>
      <c r="H881" s="1" t="s">
        <v>15</v>
      </c>
      <c r="I881" s="3" t="str">
        <f>"1"</f>
        <v>1</v>
      </c>
      <c r="J881" s="3">
        <v>23418.93</v>
      </c>
      <c r="K881" s="2">
        <v>45913</v>
      </c>
      <c r="L881" s="2">
        <v>45915</v>
      </c>
      <c r="M881" s="1" t="s">
        <v>8890</v>
      </c>
      <c r="N881" s="1" t="s">
        <v>4343</v>
      </c>
    </row>
    <row r="882" spans="1:14" x14ac:dyDescent="0.35">
      <c r="A882" s="1" t="s">
        <v>4321</v>
      </c>
      <c r="B882" s="3" t="s">
        <v>93</v>
      </c>
      <c r="C882" s="1" t="s">
        <v>267</v>
      </c>
      <c r="D882" s="1" t="s">
        <v>8891</v>
      </c>
      <c r="E882" s="1" t="str">
        <f>"2340"</f>
        <v>2340</v>
      </c>
      <c r="F882" s="1" t="s">
        <v>647</v>
      </c>
      <c r="G882" s="1" t="s">
        <v>648</v>
      </c>
      <c r="H882" s="1" t="s">
        <v>15</v>
      </c>
      <c r="I882" s="3" t="str">
        <f>"1"</f>
        <v>1</v>
      </c>
      <c r="J882" s="3">
        <v>23418.93</v>
      </c>
      <c r="K882" s="2">
        <v>45913</v>
      </c>
      <c r="L882" s="2">
        <v>45915</v>
      </c>
      <c r="M882" s="1" t="s">
        <v>8890</v>
      </c>
      <c r="N882" s="1" t="s">
        <v>4343</v>
      </c>
    </row>
    <row r="883" spans="1:14" x14ac:dyDescent="0.35">
      <c r="A883" s="1" t="s">
        <v>4321</v>
      </c>
      <c r="B883" s="3" t="s">
        <v>2145</v>
      </c>
      <c r="C883" s="1" t="s">
        <v>2153</v>
      </c>
      <c r="D883" s="1" t="s">
        <v>8889</v>
      </c>
      <c r="E883" s="1" t="str">
        <f>"2340"</f>
        <v>2340</v>
      </c>
      <c r="F883" s="1" t="s">
        <v>647</v>
      </c>
      <c r="G883" s="1" t="s">
        <v>648</v>
      </c>
      <c r="H883" s="1" t="s">
        <v>15</v>
      </c>
      <c r="I883" s="3" t="str">
        <f>"1"</f>
        <v>1</v>
      </c>
      <c r="J883" s="3">
        <v>23418.93</v>
      </c>
      <c r="K883" s="2">
        <v>45913</v>
      </c>
      <c r="L883" s="2">
        <v>45915</v>
      </c>
      <c r="M883" s="1" t="s">
        <v>8887</v>
      </c>
      <c r="N883" s="1" t="s">
        <v>4343</v>
      </c>
    </row>
    <row r="884" spans="1:14" x14ac:dyDescent="0.35">
      <c r="A884" s="1" t="s">
        <v>4321</v>
      </c>
      <c r="B884" s="3" t="s">
        <v>2145</v>
      </c>
      <c r="C884" s="1" t="s">
        <v>2153</v>
      </c>
      <c r="D884" s="1" t="s">
        <v>8888</v>
      </c>
      <c r="E884" s="1" t="str">
        <f>"2340"</f>
        <v>2340</v>
      </c>
      <c r="F884" s="1" t="s">
        <v>647</v>
      </c>
      <c r="G884" s="1" t="s">
        <v>648</v>
      </c>
      <c r="H884" s="1" t="s">
        <v>15</v>
      </c>
      <c r="I884" s="3" t="str">
        <f>"1"</f>
        <v>1</v>
      </c>
      <c r="J884" s="3">
        <v>23418.93</v>
      </c>
      <c r="K884" s="2">
        <v>45913</v>
      </c>
      <c r="L884" s="2">
        <v>45915</v>
      </c>
      <c r="M884" s="1" t="s">
        <v>8887</v>
      </c>
      <c r="N884" s="1" t="s">
        <v>4343</v>
      </c>
    </row>
    <row r="885" spans="1:14" x14ac:dyDescent="0.35">
      <c r="A885" s="1" t="s">
        <v>4321</v>
      </c>
      <c r="B885" s="3" t="s">
        <v>1848</v>
      </c>
      <c r="C885" s="1" t="s">
        <v>1849</v>
      </c>
      <c r="D885" s="1" t="s">
        <v>8886</v>
      </c>
      <c r="E885" s="1" t="str">
        <f>"7520"</f>
        <v>7520</v>
      </c>
      <c r="F885" s="1" t="str">
        <f>"013527321"</f>
        <v>013527321</v>
      </c>
      <c r="G885" s="1" t="s">
        <v>5966</v>
      </c>
      <c r="H885" s="1" t="s">
        <v>58</v>
      </c>
      <c r="I885" s="3" t="str">
        <f>"10"</f>
        <v>10</v>
      </c>
      <c r="J885" s="3">
        <v>14.59</v>
      </c>
      <c r="K885" s="2">
        <v>45913</v>
      </c>
      <c r="L885" s="2">
        <v>45915</v>
      </c>
      <c r="M885" s="1" t="s">
        <v>8885</v>
      </c>
      <c r="N885" s="1" t="s">
        <v>4343</v>
      </c>
    </row>
    <row r="886" spans="1:14" x14ac:dyDescent="0.35">
      <c r="A886" s="1" t="s">
        <v>4321</v>
      </c>
      <c r="B886" s="3" t="s">
        <v>3105</v>
      </c>
      <c r="C886" s="1" t="s">
        <v>8883</v>
      </c>
      <c r="D886" s="1" t="s">
        <v>8884</v>
      </c>
      <c r="E886" s="1" t="str">
        <f>"2340"</f>
        <v>2340</v>
      </c>
      <c r="F886" s="1" t="s">
        <v>647</v>
      </c>
      <c r="G886" s="1" t="s">
        <v>648</v>
      </c>
      <c r="H886" s="1" t="s">
        <v>15</v>
      </c>
      <c r="I886" s="3" t="str">
        <f>"0"</f>
        <v>0</v>
      </c>
      <c r="J886" s="3">
        <v>23418.93</v>
      </c>
      <c r="K886" s="2">
        <v>45913</v>
      </c>
      <c r="L886" s="2">
        <v>45915</v>
      </c>
      <c r="M886" s="1" t="s">
        <v>8881</v>
      </c>
      <c r="N886" s="1" t="s">
        <v>4343</v>
      </c>
    </row>
    <row r="887" spans="1:14" x14ac:dyDescent="0.35">
      <c r="A887" s="1" t="s">
        <v>4321</v>
      </c>
      <c r="B887" s="3" t="s">
        <v>3105</v>
      </c>
      <c r="C887" s="1" t="s">
        <v>8883</v>
      </c>
      <c r="D887" s="1" t="s">
        <v>8882</v>
      </c>
      <c r="E887" s="1" t="str">
        <f>"2340"</f>
        <v>2340</v>
      </c>
      <c r="F887" s="1" t="s">
        <v>647</v>
      </c>
      <c r="G887" s="1" t="s">
        <v>648</v>
      </c>
      <c r="H887" s="1" t="s">
        <v>15</v>
      </c>
      <c r="I887" s="3" t="str">
        <f>"1"</f>
        <v>1</v>
      </c>
      <c r="J887" s="3">
        <v>23418.93</v>
      </c>
      <c r="K887" s="2">
        <v>45913</v>
      </c>
      <c r="L887" s="2">
        <v>45915</v>
      </c>
      <c r="M887" s="1" t="s">
        <v>8881</v>
      </c>
      <c r="N887" s="1" t="s">
        <v>4343</v>
      </c>
    </row>
    <row r="888" spans="1:14" x14ac:dyDescent="0.35">
      <c r="A888" s="1" t="s">
        <v>4321</v>
      </c>
      <c r="B888" s="3" t="s">
        <v>3183</v>
      </c>
      <c r="C888" s="1" t="s">
        <v>3357</v>
      </c>
      <c r="D888" s="1" t="s">
        <v>8880</v>
      </c>
      <c r="E888" s="1" t="str">
        <f>"2340"</f>
        <v>2340</v>
      </c>
      <c r="F888" s="1" t="s">
        <v>647</v>
      </c>
      <c r="G888" s="1" t="s">
        <v>648</v>
      </c>
      <c r="H888" s="1" t="s">
        <v>15</v>
      </c>
      <c r="I888" s="3" t="str">
        <f>"1"</f>
        <v>1</v>
      </c>
      <c r="J888" s="3">
        <v>23418.93</v>
      </c>
      <c r="K888" s="2">
        <v>45913</v>
      </c>
      <c r="L888" s="2">
        <v>45915</v>
      </c>
      <c r="M888" s="1" t="s">
        <v>8878</v>
      </c>
      <c r="N888" s="1" t="s">
        <v>4343</v>
      </c>
    </row>
    <row r="889" spans="1:14" x14ac:dyDescent="0.35">
      <c r="A889" s="1" t="s">
        <v>4321</v>
      </c>
      <c r="B889" s="3" t="s">
        <v>3183</v>
      </c>
      <c r="C889" s="1" t="s">
        <v>3357</v>
      </c>
      <c r="D889" s="1" t="s">
        <v>8879</v>
      </c>
      <c r="E889" s="1" t="str">
        <f>"2340"</f>
        <v>2340</v>
      </c>
      <c r="F889" s="1" t="s">
        <v>647</v>
      </c>
      <c r="G889" s="1" t="s">
        <v>648</v>
      </c>
      <c r="H889" s="1" t="s">
        <v>15</v>
      </c>
      <c r="I889" s="3" t="str">
        <f>"1"</f>
        <v>1</v>
      </c>
      <c r="J889" s="3">
        <v>23418.93</v>
      </c>
      <c r="K889" s="2">
        <v>45913</v>
      </c>
      <c r="L889" s="2">
        <v>45915</v>
      </c>
      <c r="M889" s="1" t="s">
        <v>8878</v>
      </c>
      <c r="N889" s="1" t="s">
        <v>4343</v>
      </c>
    </row>
    <row r="890" spans="1:14" x14ac:dyDescent="0.35">
      <c r="A890" s="1" t="s">
        <v>4321</v>
      </c>
      <c r="B890" s="3" t="s">
        <v>3183</v>
      </c>
      <c r="C890" s="1" t="s">
        <v>3364</v>
      </c>
      <c r="D890" s="1" t="s">
        <v>8877</v>
      </c>
      <c r="E890" s="1" t="str">
        <f>"2340"</f>
        <v>2340</v>
      </c>
      <c r="F890" s="1" t="s">
        <v>647</v>
      </c>
      <c r="G890" s="1" t="s">
        <v>648</v>
      </c>
      <c r="H890" s="1" t="s">
        <v>15</v>
      </c>
      <c r="I890" s="3" t="str">
        <f>"1"</f>
        <v>1</v>
      </c>
      <c r="J890" s="3">
        <v>23418.93</v>
      </c>
      <c r="K890" s="2">
        <v>45913</v>
      </c>
      <c r="L890" s="2">
        <v>45915</v>
      </c>
      <c r="M890" s="1" t="s">
        <v>8871</v>
      </c>
      <c r="N890" s="1" t="s">
        <v>4343</v>
      </c>
    </row>
    <row r="891" spans="1:14" x14ac:dyDescent="0.35">
      <c r="A891" s="1" t="s">
        <v>4321</v>
      </c>
      <c r="B891" s="3" t="s">
        <v>3183</v>
      </c>
      <c r="C891" s="1" t="s">
        <v>3364</v>
      </c>
      <c r="D891" s="1" t="s">
        <v>8876</v>
      </c>
      <c r="E891" s="1" t="str">
        <f>"2340"</f>
        <v>2340</v>
      </c>
      <c r="F891" s="1" t="s">
        <v>647</v>
      </c>
      <c r="G891" s="1" t="s">
        <v>648</v>
      </c>
      <c r="H891" s="1" t="s">
        <v>15</v>
      </c>
      <c r="I891" s="3" t="str">
        <f>"1"</f>
        <v>1</v>
      </c>
      <c r="J891" s="3">
        <v>23418.93</v>
      </c>
      <c r="K891" s="2">
        <v>45913</v>
      </c>
      <c r="L891" s="2">
        <v>45915</v>
      </c>
      <c r="M891" s="1" t="s">
        <v>8871</v>
      </c>
      <c r="N891" s="1" t="s">
        <v>4343</v>
      </c>
    </row>
    <row r="892" spans="1:14" x14ac:dyDescent="0.35">
      <c r="A892" s="1" t="s">
        <v>4321</v>
      </c>
      <c r="B892" s="3" t="s">
        <v>3183</v>
      </c>
      <c r="C892" s="1" t="s">
        <v>3364</v>
      </c>
      <c r="D892" s="1" t="s">
        <v>8875</v>
      </c>
      <c r="E892" s="1" t="str">
        <f>"2340"</f>
        <v>2340</v>
      </c>
      <c r="F892" s="1" t="s">
        <v>647</v>
      </c>
      <c r="G892" s="1" t="s">
        <v>648</v>
      </c>
      <c r="H892" s="1" t="s">
        <v>15</v>
      </c>
      <c r="I892" s="3" t="str">
        <f>"1"</f>
        <v>1</v>
      </c>
      <c r="J892" s="3">
        <v>23418.93</v>
      </c>
      <c r="K892" s="2">
        <v>45913</v>
      </c>
      <c r="L892" s="2">
        <v>45915</v>
      </c>
      <c r="M892" s="1" t="s">
        <v>8871</v>
      </c>
      <c r="N892" s="1" t="s">
        <v>4343</v>
      </c>
    </row>
    <row r="893" spans="1:14" x14ac:dyDescent="0.35">
      <c r="A893" s="1" t="s">
        <v>4321</v>
      </c>
      <c r="B893" s="3" t="s">
        <v>3183</v>
      </c>
      <c r="C893" s="1" t="s">
        <v>3364</v>
      </c>
      <c r="D893" s="1" t="s">
        <v>8874</v>
      </c>
      <c r="E893" s="1" t="str">
        <f>"2340"</f>
        <v>2340</v>
      </c>
      <c r="F893" s="1" t="s">
        <v>647</v>
      </c>
      <c r="G893" s="1" t="s">
        <v>648</v>
      </c>
      <c r="H893" s="1" t="s">
        <v>15</v>
      </c>
      <c r="I893" s="3" t="str">
        <f>"1"</f>
        <v>1</v>
      </c>
      <c r="J893" s="3">
        <v>23418.93</v>
      </c>
      <c r="K893" s="2">
        <v>45913</v>
      </c>
      <c r="L893" s="2">
        <v>45915</v>
      </c>
      <c r="M893" s="1" t="s">
        <v>8871</v>
      </c>
      <c r="N893" s="1" t="s">
        <v>4343</v>
      </c>
    </row>
    <row r="894" spans="1:14" x14ac:dyDescent="0.35">
      <c r="A894" s="1" t="s">
        <v>4321</v>
      </c>
      <c r="B894" s="3" t="s">
        <v>3183</v>
      </c>
      <c r="C894" s="1" t="s">
        <v>3364</v>
      </c>
      <c r="D894" s="1" t="s">
        <v>8873</v>
      </c>
      <c r="E894" s="1" t="str">
        <f>"2340"</f>
        <v>2340</v>
      </c>
      <c r="F894" s="1" t="s">
        <v>647</v>
      </c>
      <c r="G894" s="1" t="s">
        <v>648</v>
      </c>
      <c r="H894" s="1" t="s">
        <v>15</v>
      </c>
      <c r="I894" s="3" t="str">
        <f>"1"</f>
        <v>1</v>
      </c>
      <c r="J894" s="3">
        <v>23418.93</v>
      </c>
      <c r="K894" s="2">
        <v>45913</v>
      </c>
      <c r="L894" s="2">
        <v>45915</v>
      </c>
      <c r="M894" s="1" t="s">
        <v>8871</v>
      </c>
      <c r="N894" s="1" t="s">
        <v>4343</v>
      </c>
    </row>
    <row r="895" spans="1:14" x14ac:dyDescent="0.35">
      <c r="A895" s="1" t="s">
        <v>4321</v>
      </c>
      <c r="B895" s="3" t="s">
        <v>3183</v>
      </c>
      <c r="C895" s="1" t="s">
        <v>3364</v>
      </c>
      <c r="D895" s="1" t="s">
        <v>8872</v>
      </c>
      <c r="E895" s="1" t="str">
        <f>"2340"</f>
        <v>2340</v>
      </c>
      <c r="F895" s="1" t="s">
        <v>647</v>
      </c>
      <c r="G895" s="1" t="s">
        <v>648</v>
      </c>
      <c r="H895" s="1" t="s">
        <v>15</v>
      </c>
      <c r="I895" s="3" t="str">
        <f>"1"</f>
        <v>1</v>
      </c>
      <c r="J895" s="3">
        <v>23418.93</v>
      </c>
      <c r="K895" s="2">
        <v>45913</v>
      </c>
      <c r="L895" s="2">
        <v>45915</v>
      </c>
      <c r="M895" s="1" t="s">
        <v>8871</v>
      </c>
      <c r="N895" s="1" t="s">
        <v>4343</v>
      </c>
    </row>
    <row r="896" spans="1:14" x14ac:dyDescent="0.35">
      <c r="A896" s="1" t="s">
        <v>4321</v>
      </c>
      <c r="B896" s="3" t="s">
        <v>3105</v>
      </c>
      <c r="C896" s="1" t="s">
        <v>4877</v>
      </c>
      <c r="D896" s="1" t="s">
        <v>8870</v>
      </c>
      <c r="E896" s="1" t="str">
        <f>"2340"</f>
        <v>2340</v>
      </c>
      <c r="F896" s="1" t="s">
        <v>647</v>
      </c>
      <c r="G896" s="1" t="s">
        <v>648</v>
      </c>
      <c r="H896" s="1" t="s">
        <v>15</v>
      </c>
      <c r="I896" s="3" t="str">
        <f>"1"</f>
        <v>1</v>
      </c>
      <c r="J896" s="3">
        <v>23418.93</v>
      </c>
      <c r="K896" s="2">
        <v>45913</v>
      </c>
      <c r="L896" s="2">
        <v>45915</v>
      </c>
      <c r="M896" s="1" t="s">
        <v>8862</v>
      </c>
      <c r="N896" s="1" t="s">
        <v>4343</v>
      </c>
    </row>
    <row r="897" spans="1:14" x14ac:dyDescent="0.35">
      <c r="A897" s="1" t="s">
        <v>4321</v>
      </c>
      <c r="B897" s="3" t="s">
        <v>3105</v>
      </c>
      <c r="C897" s="1" t="s">
        <v>4877</v>
      </c>
      <c r="D897" s="1" t="s">
        <v>8869</v>
      </c>
      <c r="E897" s="1" t="str">
        <f>"2340"</f>
        <v>2340</v>
      </c>
      <c r="F897" s="1" t="s">
        <v>647</v>
      </c>
      <c r="G897" s="1" t="s">
        <v>648</v>
      </c>
      <c r="H897" s="1" t="s">
        <v>15</v>
      </c>
      <c r="I897" s="3" t="str">
        <f>"1"</f>
        <v>1</v>
      </c>
      <c r="J897" s="3">
        <v>23418.93</v>
      </c>
      <c r="K897" s="2">
        <v>45913</v>
      </c>
      <c r="L897" s="2">
        <v>45915</v>
      </c>
      <c r="M897" s="1" t="s">
        <v>8862</v>
      </c>
      <c r="N897" s="1" t="s">
        <v>4343</v>
      </c>
    </row>
    <row r="898" spans="1:14" x14ac:dyDescent="0.35">
      <c r="A898" s="1" t="s">
        <v>4321</v>
      </c>
      <c r="B898" s="3" t="s">
        <v>3105</v>
      </c>
      <c r="C898" s="1" t="s">
        <v>4877</v>
      </c>
      <c r="D898" s="1" t="s">
        <v>8868</v>
      </c>
      <c r="E898" s="1" t="str">
        <f>"2340"</f>
        <v>2340</v>
      </c>
      <c r="F898" s="1" t="s">
        <v>647</v>
      </c>
      <c r="G898" s="1" t="s">
        <v>648</v>
      </c>
      <c r="H898" s="1" t="s">
        <v>15</v>
      </c>
      <c r="I898" s="3" t="str">
        <f>"1"</f>
        <v>1</v>
      </c>
      <c r="J898" s="3">
        <v>23418.93</v>
      </c>
      <c r="K898" s="2">
        <v>45913</v>
      </c>
      <c r="L898" s="2">
        <v>45915</v>
      </c>
      <c r="M898" s="1" t="s">
        <v>8862</v>
      </c>
      <c r="N898" s="1" t="s">
        <v>4343</v>
      </c>
    </row>
    <row r="899" spans="1:14" x14ac:dyDescent="0.35">
      <c r="A899" s="1" t="s">
        <v>4321</v>
      </c>
      <c r="B899" s="3" t="s">
        <v>3105</v>
      </c>
      <c r="C899" s="1" t="s">
        <v>4877</v>
      </c>
      <c r="D899" s="1" t="s">
        <v>8867</v>
      </c>
      <c r="E899" s="1" t="str">
        <f>"2340"</f>
        <v>2340</v>
      </c>
      <c r="F899" s="1" t="s">
        <v>647</v>
      </c>
      <c r="G899" s="1" t="s">
        <v>648</v>
      </c>
      <c r="H899" s="1" t="s">
        <v>15</v>
      </c>
      <c r="I899" s="3" t="str">
        <f>"1"</f>
        <v>1</v>
      </c>
      <c r="J899" s="3">
        <v>23418.93</v>
      </c>
      <c r="K899" s="2">
        <v>45913</v>
      </c>
      <c r="L899" s="2">
        <v>45915</v>
      </c>
      <c r="M899" s="1" t="s">
        <v>8862</v>
      </c>
      <c r="N899" s="1" t="s">
        <v>4343</v>
      </c>
    </row>
    <row r="900" spans="1:14" x14ac:dyDescent="0.35">
      <c r="A900" s="1" t="s">
        <v>4321</v>
      </c>
      <c r="B900" s="3" t="s">
        <v>3105</v>
      </c>
      <c r="C900" s="1" t="s">
        <v>4877</v>
      </c>
      <c r="D900" s="1" t="s">
        <v>8866</v>
      </c>
      <c r="E900" s="1" t="str">
        <f>"2340"</f>
        <v>2340</v>
      </c>
      <c r="F900" s="1" t="s">
        <v>647</v>
      </c>
      <c r="G900" s="1" t="s">
        <v>648</v>
      </c>
      <c r="H900" s="1" t="s">
        <v>15</v>
      </c>
      <c r="I900" s="3" t="str">
        <f>"1"</f>
        <v>1</v>
      </c>
      <c r="J900" s="3">
        <v>23418.93</v>
      </c>
      <c r="K900" s="2">
        <v>45913</v>
      </c>
      <c r="L900" s="2">
        <v>45915</v>
      </c>
      <c r="M900" s="1" t="s">
        <v>8862</v>
      </c>
      <c r="N900" s="1" t="s">
        <v>4343</v>
      </c>
    </row>
    <row r="901" spans="1:14" x14ac:dyDescent="0.35">
      <c r="A901" s="1" t="s">
        <v>4321</v>
      </c>
      <c r="B901" s="3" t="s">
        <v>3105</v>
      </c>
      <c r="C901" s="1" t="s">
        <v>4877</v>
      </c>
      <c r="D901" s="1" t="s">
        <v>8865</v>
      </c>
      <c r="E901" s="1" t="str">
        <f>"2340"</f>
        <v>2340</v>
      </c>
      <c r="F901" s="1" t="s">
        <v>647</v>
      </c>
      <c r="G901" s="1" t="s">
        <v>648</v>
      </c>
      <c r="H901" s="1" t="s">
        <v>15</v>
      </c>
      <c r="I901" s="3" t="str">
        <f>"1"</f>
        <v>1</v>
      </c>
      <c r="J901" s="3">
        <v>23418.93</v>
      </c>
      <c r="K901" s="2">
        <v>45913</v>
      </c>
      <c r="L901" s="2">
        <v>45915</v>
      </c>
      <c r="M901" s="1" t="s">
        <v>8862</v>
      </c>
      <c r="N901" s="1" t="s">
        <v>4343</v>
      </c>
    </row>
    <row r="902" spans="1:14" x14ac:dyDescent="0.35">
      <c r="A902" s="1" t="s">
        <v>4321</v>
      </c>
      <c r="B902" s="3" t="s">
        <v>3105</v>
      </c>
      <c r="C902" s="1" t="s">
        <v>4877</v>
      </c>
      <c r="D902" s="1" t="s">
        <v>8864</v>
      </c>
      <c r="E902" s="1" t="str">
        <f>"2340"</f>
        <v>2340</v>
      </c>
      <c r="F902" s="1" t="s">
        <v>647</v>
      </c>
      <c r="G902" s="1" t="s">
        <v>648</v>
      </c>
      <c r="H902" s="1" t="s">
        <v>15</v>
      </c>
      <c r="I902" s="3" t="str">
        <f>"1"</f>
        <v>1</v>
      </c>
      <c r="J902" s="3">
        <v>23418.93</v>
      </c>
      <c r="K902" s="2">
        <v>45913</v>
      </c>
      <c r="L902" s="2">
        <v>45915</v>
      </c>
      <c r="M902" s="1" t="s">
        <v>8862</v>
      </c>
      <c r="N902" s="1" t="s">
        <v>4343</v>
      </c>
    </row>
    <row r="903" spans="1:14" x14ac:dyDescent="0.35">
      <c r="A903" s="1" t="s">
        <v>4321</v>
      </c>
      <c r="B903" s="3" t="s">
        <v>3105</v>
      </c>
      <c r="C903" s="1" t="s">
        <v>4877</v>
      </c>
      <c r="D903" s="1" t="s">
        <v>8863</v>
      </c>
      <c r="E903" s="1" t="str">
        <f>"2340"</f>
        <v>2340</v>
      </c>
      <c r="F903" s="1" t="s">
        <v>647</v>
      </c>
      <c r="G903" s="1" t="s">
        <v>648</v>
      </c>
      <c r="H903" s="1" t="s">
        <v>15</v>
      </c>
      <c r="I903" s="3" t="str">
        <f>"1"</f>
        <v>1</v>
      </c>
      <c r="J903" s="3">
        <v>23418.93</v>
      </c>
      <c r="K903" s="2">
        <v>45913</v>
      </c>
      <c r="L903" s="2">
        <v>45915</v>
      </c>
      <c r="M903" s="1" t="s">
        <v>8862</v>
      </c>
      <c r="N903" s="1" t="s">
        <v>4343</v>
      </c>
    </row>
    <row r="904" spans="1:14" x14ac:dyDescent="0.35">
      <c r="A904" s="1" t="s">
        <v>4321</v>
      </c>
      <c r="B904" s="3" t="s">
        <v>2000</v>
      </c>
      <c r="C904" s="1" t="s">
        <v>2078</v>
      </c>
      <c r="D904" s="1" t="s">
        <v>8861</v>
      </c>
      <c r="E904" s="1" t="str">
        <f>"2340"</f>
        <v>2340</v>
      </c>
      <c r="F904" s="1" t="s">
        <v>647</v>
      </c>
      <c r="G904" s="1" t="s">
        <v>648</v>
      </c>
      <c r="H904" s="1" t="s">
        <v>15</v>
      </c>
      <c r="I904" s="3" t="str">
        <f>"1"</f>
        <v>1</v>
      </c>
      <c r="J904" s="3">
        <v>23418.93</v>
      </c>
      <c r="K904" s="2">
        <v>45913</v>
      </c>
      <c r="L904" s="2">
        <v>45915</v>
      </c>
      <c r="M904" s="1" t="s">
        <v>8860</v>
      </c>
      <c r="N904" s="1" t="s">
        <v>4343</v>
      </c>
    </row>
    <row r="905" spans="1:14" x14ac:dyDescent="0.35">
      <c r="A905" s="1" t="s">
        <v>4321</v>
      </c>
      <c r="B905" s="3" t="s">
        <v>2000</v>
      </c>
      <c r="C905" s="1" t="s">
        <v>2078</v>
      </c>
      <c r="D905" s="1" t="s">
        <v>8859</v>
      </c>
      <c r="E905" s="1" t="str">
        <f>"2340"</f>
        <v>2340</v>
      </c>
      <c r="F905" s="1" t="s">
        <v>647</v>
      </c>
      <c r="G905" s="1" t="s">
        <v>648</v>
      </c>
      <c r="H905" s="1" t="s">
        <v>15</v>
      </c>
      <c r="I905" s="3" t="str">
        <f>"1"</f>
        <v>1</v>
      </c>
      <c r="J905" s="3">
        <v>23418.93</v>
      </c>
      <c r="K905" s="2">
        <v>45913</v>
      </c>
      <c r="L905" s="2">
        <v>45915</v>
      </c>
      <c r="M905" s="1" t="s">
        <v>8857</v>
      </c>
      <c r="N905" s="1" t="s">
        <v>4343</v>
      </c>
    </row>
    <row r="906" spans="1:14" x14ac:dyDescent="0.35">
      <c r="A906" s="1" t="s">
        <v>4321</v>
      </c>
      <c r="B906" s="3" t="s">
        <v>2000</v>
      </c>
      <c r="C906" s="1" t="s">
        <v>2078</v>
      </c>
      <c r="D906" s="1" t="s">
        <v>8858</v>
      </c>
      <c r="E906" s="1" t="str">
        <f>"2340"</f>
        <v>2340</v>
      </c>
      <c r="F906" s="1" t="s">
        <v>647</v>
      </c>
      <c r="G906" s="1" t="s">
        <v>648</v>
      </c>
      <c r="H906" s="1" t="s">
        <v>15</v>
      </c>
      <c r="I906" s="3" t="str">
        <f>"1"</f>
        <v>1</v>
      </c>
      <c r="J906" s="3">
        <v>23418.93</v>
      </c>
      <c r="K906" s="2">
        <v>45913</v>
      </c>
      <c r="L906" s="2">
        <v>45915</v>
      </c>
      <c r="M906" s="1" t="s">
        <v>8857</v>
      </c>
      <c r="N906" s="1" t="s">
        <v>4343</v>
      </c>
    </row>
    <row r="907" spans="1:14" x14ac:dyDescent="0.35">
      <c r="A907" s="1" t="s">
        <v>4321</v>
      </c>
      <c r="B907" s="3" t="s">
        <v>2000</v>
      </c>
      <c r="C907" s="1" t="s">
        <v>2078</v>
      </c>
      <c r="D907" s="1" t="s">
        <v>8856</v>
      </c>
      <c r="E907" s="1" t="str">
        <f>"2340"</f>
        <v>2340</v>
      </c>
      <c r="F907" s="1" t="s">
        <v>647</v>
      </c>
      <c r="G907" s="1" t="s">
        <v>648</v>
      </c>
      <c r="H907" s="1" t="s">
        <v>15</v>
      </c>
      <c r="I907" s="3" t="str">
        <f>"1"</f>
        <v>1</v>
      </c>
      <c r="J907" s="3">
        <v>23418.93</v>
      </c>
      <c r="K907" s="2">
        <v>45913</v>
      </c>
      <c r="L907" s="2">
        <v>45915</v>
      </c>
      <c r="M907" s="1" t="s">
        <v>8853</v>
      </c>
      <c r="N907" s="1" t="s">
        <v>4343</v>
      </c>
    </row>
    <row r="908" spans="1:14" x14ac:dyDescent="0.35">
      <c r="A908" s="1" t="s">
        <v>4321</v>
      </c>
      <c r="B908" s="3" t="s">
        <v>2000</v>
      </c>
      <c r="C908" s="1" t="s">
        <v>2078</v>
      </c>
      <c r="D908" s="1" t="s">
        <v>8855</v>
      </c>
      <c r="E908" s="1" t="str">
        <f>"2340"</f>
        <v>2340</v>
      </c>
      <c r="F908" s="1" t="s">
        <v>647</v>
      </c>
      <c r="G908" s="1" t="s">
        <v>648</v>
      </c>
      <c r="H908" s="1" t="s">
        <v>15</v>
      </c>
      <c r="I908" s="3" t="str">
        <f>"1"</f>
        <v>1</v>
      </c>
      <c r="J908" s="3">
        <v>23418.93</v>
      </c>
      <c r="K908" s="2">
        <v>45913</v>
      </c>
      <c r="L908" s="2">
        <v>45915</v>
      </c>
      <c r="M908" s="1" t="s">
        <v>8853</v>
      </c>
      <c r="N908" s="1" t="s">
        <v>4343</v>
      </c>
    </row>
    <row r="909" spans="1:14" x14ac:dyDescent="0.35">
      <c r="A909" s="1" t="s">
        <v>4321</v>
      </c>
      <c r="B909" s="3" t="s">
        <v>2000</v>
      </c>
      <c r="C909" s="1" t="s">
        <v>2078</v>
      </c>
      <c r="D909" s="1" t="s">
        <v>8854</v>
      </c>
      <c r="E909" s="1" t="str">
        <f>"2340"</f>
        <v>2340</v>
      </c>
      <c r="F909" s="1" t="s">
        <v>647</v>
      </c>
      <c r="G909" s="1" t="s">
        <v>648</v>
      </c>
      <c r="H909" s="1" t="s">
        <v>15</v>
      </c>
      <c r="I909" s="3" t="str">
        <f>"1"</f>
        <v>1</v>
      </c>
      <c r="J909" s="3">
        <v>23418.93</v>
      </c>
      <c r="K909" s="2">
        <v>45913</v>
      </c>
      <c r="L909" s="2">
        <v>45915</v>
      </c>
      <c r="M909" s="1" t="s">
        <v>8853</v>
      </c>
      <c r="N909" s="1" t="s">
        <v>4343</v>
      </c>
    </row>
    <row r="910" spans="1:14" x14ac:dyDescent="0.35">
      <c r="A910" s="1" t="s">
        <v>4321</v>
      </c>
      <c r="B910" s="3" t="s">
        <v>3513</v>
      </c>
      <c r="C910" s="1" t="s">
        <v>3793</v>
      </c>
      <c r="D910" s="1" t="s">
        <v>8852</v>
      </c>
      <c r="E910" s="1" t="str">
        <f>"2340"</f>
        <v>2340</v>
      </c>
      <c r="F910" s="1" t="s">
        <v>647</v>
      </c>
      <c r="G910" s="1" t="s">
        <v>648</v>
      </c>
      <c r="H910" s="1" t="s">
        <v>15</v>
      </c>
      <c r="I910" s="3" t="str">
        <f>"1"</f>
        <v>1</v>
      </c>
      <c r="J910" s="3">
        <v>23418.93</v>
      </c>
      <c r="K910" s="2">
        <v>45913</v>
      </c>
      <c r="L910" s="2">
        <v>45915</v>
      </c>
      <c r="M910" s="1" t="s">
        <v>8849</v>
      </c>
      <c r="N910" s="1" t="s">
        <v>4343</v>
      </c>
    </row>
    <row r="911" spans="1:14" x14ac:dyDescent="0.35">
      <c r="A911" s="1" t="s">
        <v>4321</v>
      </c>
      <c r="B911" s="3" t="s">
        <v>3513</v>
      </c>
      <c r="C911" s="1" t="s">
        <v>3793</v>
      </c>
      <c r="D911" s="1" t="s">
        <v>8851</v>
      </c>
      <c r="E911" s="1" t="str">
        <f>"2340"</f>
        <v>2340</v>
      </c>
      <c r="F911" s="1" t="s">
        <v>647</v>
      </c>
      <c r="G911" s="1" t="s">
        <v>648</v>
      </c>
      <c r="H911" s="1" t="s">
        <v>15</v>
      </c>
      <c r="I911" s="3" t="str">
        <f>"1"</f>
        <v>1</v>
      </c>
      <c r="J911" s="3">
        <v>23418.93</v>
      </c>
      <c r="K911" s="2">
        <v>45913</v>
      </c>
      <c r="L911" s="2">
        <v>45915</v>
      </c>
      <c r="M911" s="1" t="s">
        <v>8849</v>
      </c>
      <c r="N911" s="1" t="s">
        <v>4343</v>
      </c>
    </row>
    <row r="912" spans="1:14" x14ac:dyDescent="0.35">
      <c r="A912" s="1" t="s">
        <v>4321</v>
      </c>
      <c r="B912" s="3" t="s">
        <v>3513</v>
      </c>
      <c r="C912" s="1" t="s">
        <v>3793</v>
      </c>
      <c r="D912" s="1" t="s">
        <v>8850</v>
      </c>
      <c r="E912" s="1" t="str">
        <f>"2340"</f>
        <v>2340</v>
      </c>
      <c r="F912" s="1" t="s">
        <v>647</v>
      </c>
      <c r="G912" s="1" t="s">
        <v>648</v>
      </c>
      <c r="H912" s="1" t="s">
        <v>15</v>
      </c>
      <c r="I912" s="3" t="str">
        <f>"1"</f>
        <v>1</v>
      </c>
      <c r="J912" s="3">
        <v>23418.93</v>
      </c>
      <c r="K912" s="2">
        <v>45913</v>
      </c>
      <c r="L912" s="2">
        <v>45915</v>
      </c>
      <c r="M912" s="1" t="s">
        <v>8849</v>
      </c>
      <c r="N912" s="1" t="s">
        <v>4343</v>
      </c>
    </row>
    <row r="913" spans="1:14" x14ac:dyDescent="0.35">
      <c r="A913" s="1" t="s">
        <v>4321</v>
      </c>
      <c r="B913" s="3" t="s">
        <v>3513</v>
      </c>
      <c r="C913" s="1" t="s">
        <v>3793</v>
      </c>
      <c r="D913" s="1" t="s">
        <v>8848</v>
      </c>
      <c r="E913" s="1" t="str">
        <f>"2340"</f>
        <v>2340</v>
      </c>
      <c r="F913" s="1" t="s">
        <v>647</v>
      </c>
      <c r="G913" s="1" t="s">
        <v>648</v>
      </c>
      <c r="H913" s="1" t="s">
        <v>15</v>
      </c>
      <c r="I913" s="3" t="str">
        <f>"1"</f>
        <v>1</v>
      </c>
      <c r="J913" s="3">
        <v>23418.93</v>
      </c>
      <c r="K913" s="2">
        <v>45913</v>
      </c>
      <c r="L913" s="2">
        <v>45915</v>
      </c>
      <c r="M913" s="1" t="s">
        <v>8836</v>
      </c>
      <c r="N913" s="1" t="s">
        <v>4343</v>
      </c>
    </row>
    <row r="914" spans="1:14" x14ac:dyDescent="0.35">
      <c r="A914" s="1" t="s">
        <v>4321</v>
      </c>
      <c r="B914" s="3" t="s">
        <v>3513</v>
      </c>
      <c r="C914" s="1" t="s">
        <v>3793</v>
      </c>
      <c r="D914" s="1" t="s">
        <v>8847</v>
      </c>
      <c r="E914" s="1" t="str">
        <f>"2340"</f>
        <v>2340</v>
      </c>
      <c r="F914" s="1" t="s">
        <v>647</v>
      </c>
      <c r="G914" s="1" t="s">
        <v>648</v>
      </c>
      <c r="H914" s="1" t="s">
        <v>15</v>
      </c>
      <c r="I914" s="3" t="str">
        <f>"1"</f>
        <v>1</v>
      </c>
      <c r="J914" s="3">
        <v>23418.93</v>
      </c>
      <c r="K914" s="2">
        <v>45913</v>
      </c>
      <c r="L914" s="2">
        <v>45915</v>
      </c>
      <c r="M914" s="1" t="s">
        <v>8836</v>
      </c>
      <c r="N914" s="1" t="s">
        <v>4343</v>
      </c>
    </row>
    <row r="915" spans="1:14" x14ac:dyDescent="0.35">
      <c r="A915" s="1" t="s">
        <v>4321</v>
      </c>
      <c r="B915" s="3" t="s">
        <v>3513</v>
      </c>
      <c r="C915" s="1" t="s">
        <v>3793</v>
      </c>
      <c r="D915" s="1" t="s">
        <v>8846</v>
      </c>
      <c r="E915" s="1" t="str">
        <f>"2340"</f>
        <v>2340</v>
      </c>
      <c r="F915" s="1" t="s">
        <v>647</v>
      </c>
      <c r="G915" s="1" t="s">
        <v>648</v>
      </c>
      <c r="H915" s="1" t="s">
        <v>15</v>
      </c>
      <c r="I915" s="3" t="str">
        <f>"1"</f>
        <v>1</v>
      </c>
      <c r="J915" s="3">
        <v>23418.93</v>
      </c>
      <c r="K915" s="2">
        <v>45913</v>
      </c>
      <c r="L915" s="2">
        <v>45915</v>
      </c>
      <c r="M915" s="1" t="s">
        <v>8836</v>
      </c>
      <c r="N915" s="1" t="s">
        <v>4343</v>
      </c>
    </row>
    <row r="916" spans="1:14" x14ac:dyDescent="0.35">
      <c r="A916" s="1" t="s">
        <v>4321</v>
      </c>
      <c r="B916" s="3" t="s">
        <v>3513</v>
      </c>
      <c r="C916" s="1" t="s">
        <v>3793</v>
      </c>
      <c r="D916" s="1" t="s">
        <v>8845</v>
      </c>
      <c r="E916" s="1" t="str">
        <f>"2340"</f>
        <v>2340</v>
      </c>
      <c r="F916" s="1" t="s">
        <v>647</v>
      </c>
      <c r="G916" s="1" t="s">
        <v>648</v>
      </c>
      <c r="H916" s="1" t="s">
        <v>15</v>
      </c>
      <c r="I916" s="3" t="str">
        <f>"1"</f>
        <v>1</v>
      </c>
      <c r="J916" s="3">
        <v>23418.93</v>
      </c>
      <c r="K916" s="2">
        <v>45913</v>
      </c>
      <c r="L916" s="2">
        <v>45915</v>
      </c>
      <c r="M916" s="1" t="s">
        <v>8836</v>
      </c>
      <c r="N916" s="1" t="s">
        <v>4343</v>
      </c>
    </row>
    <row r="917" spans="1:14" x14ac:dyDescent="0.35">
      <c r="A917" s="1" t="s">
        <v>4321</v>
      </c>
      <c r="B917" s="3" t="s">
        <v>3513</v>
      </c>
      <c r="C917" s="1" t="s">
        <v>3793</v>
      </c>
      <c r="D917" s="1" t="s">
        <v>8844</v>
      </c>
      <c r="E917" s="1" t="str">
        <f>"2340"</f>
        <v>2340</v>
      </c>
      <c r="F917" s="1" t="s">
        <v>647</v>
      </c>
      <c r="G917" s="1" t="s">
        <v>648</v>
      </c>
      <c r="H917" s="1" t="s">
        <v>15</v>
      </c>
      <c r="I917" s="3" t="str">
        <f>"1"</f>
        <v>1</v>
      </c>
      <c r="J917" s="3">
        <v>23418.93</v>
      </c>
      <c r="K917" s="2">
        <v>45913</v>
      </c>
      <c r="L917" s="2">
        <v>45915</v>
      </c>
      <c r="M917" s="1" t="s">
        <v>8836</v>
      </c>
      <c r="N917" s="1" t="s">
        <v>4343</v>
      </c>
    </row>
    <row r="918" spans="1:14" x14ac:dyDescent="0.35">
      <c r="A918" s="1" t="s">
        <v>4321</v>
      </c>
      <c r="B918" s="3" t="s">
        <v>3513</v>
      </c>
      <c r="C918" s="1" t="s">
        <v>3793</v>
      </c>
      <c r="D918" s="1" t="s">
        <v>8843</v>
      </c>
      <c r="E918" s="1" t="str">
        <f>"2340"</f>
        <v>2340</v>
      </c>
      <c r="F918" s="1" t="s">
        <v>647</v>
      </c>
      <c r="G918" s="1" t="s">
        <v>648</v>
      </c>
      <c r="H918" s="1" t="s">
        <v>15</v>
      </c>
      <c r="I918" s="3" t="str">
        <f>"1"</f>
        <v>1</v>
      </c>
      <c r="J918" s="3">
        <v>23418.93</v>
      </c>
      <c r="K918" s="2">
        <v>45913</v>
      </c>
      <c r="L918" s="2">
        <v>45915</v>
      </c>
      <c r="M918" s="1" t="s">
        <v>8836</v>
      </c>
      <c r="N918" s="1" t="s">
        <v>4343</v>
      </c>
    </row>
    <row r="919" spans="1:14" x14ac:dyDescent="0.35">
      <c r="A919" s="1" t="s">
        <v>4321</v>
      </c>
      <c r="B919" s="3" t="s">
        <v>3513</v>
      </c>
      <c r="C919" s="1" t="s">
        <v>3793</v>
      </c>
      <c r="D919" s="1" t="s">
        <v>8842</v>
      </c>
      <c r="E919" s="1" t="str">
        <f>"2340"</f>
        <v>2340</v>
      </c>
      <c r="F919" s="1" t="s">
        <v>647</v>
      </c>
      <c r="G919" s="1" t="s">
        <v>648</v>
      </c>
      <c r="H919" s="1" t="s">
        <v>15</v>
      </c>
      <c r="I919" s="3" t="str">
        <f>"1"</f>
        <v>1</v>
      </c>
      <c r="J919" s="3">
        <v>23418.93</v>
      </c>
      <c r="K919" s="2">
        <v>45913</v>
      </c>
      <c r="L919" s="2">
        <v>45915</v>
      </c>
      <c r="M919" s="1" t="s">
        <v>8836</v>
      </c>
      <c r="N919" s="1" t="s">
        <v>4343</v>
      </c>
    </row>
    <row r="920" spans="1:14" x14ac:dyDescent="0.35">
      <c r="A920" s="1" t="s">
        <v>4321</v>
      </c>
      <c r="B920" s="3" t="s">
        <v>3513</v>
      </c>
      <c r="C920" s="1" t="s">
        <v>3793</v>
      </c>
      <c r="D920" s="1" t="s">
        <v>8841</v>
      </c>
      <c r="E920" s="1" t="str">
        <f>"2340"</f>
        <v>2340</v>
      </c>
      <c r="F920" s="1" t="s">
        <v>647</v>
      </c>
      <c r="G920" s="1" t="s">
        <v>648</v>
      </c>
      <c r="H920" s="1" t="s">
        <v>15</v>
      </c>
      <c r="I920" s="3" t="str">
        <f>"1"</f>
        <v>1</v>
      </c>
      <c r="J920" s="3">
        <v>23418.93</v>
      </c>
      <c r="K920" s="2">
        <v>45913</v>
      </c>
      <c r="L920" s="2">
        <v>45915</v>
      </c>
      <c r="M920" s="1" t="s">
        <v>8836</v>
      </c>
      <c r="N920" s="1" t="s">
        <v>4343</v>
      </c>
    </row>
    <row r="921" spans="1:14" x14ac:dyDescent="0.35">
      <c r="A921" s="1" t="s">
        <v>4321</v>
      </c>
      <c r="B921" s="3" t="s">
        <v>3513</v>
      </c>
      <c r="C921" s="1" t="s">
        <v>3793</v>
      </c>
      <c r="D921" s="1" t="s">
        <v>8840</v>
      </c>
      <c r="E921" s="1" t="str">
        <f>"2340"</f>
        <v>2340</v>
      </c>
      <c r="F921" s="1" t="s">
        <v>647</v>
      </c>
      <c r="G921" s="1" t="s">
        <v>648</v>
      </c>
      <c r="H921" s="1" t="s">
        <v>15</v>
      </c>
      <c r="I921" s="3" t="str">
        <f>"1"</f>
        <v>1</v>
      </c>
      <c r="J921" s="3">
        <v>23418.93</v>
      </c>
      <c r="K921" s="2">
        <v>45913</v>
      </c>
      <c r="L921" s="2">
        <v>45915</v>
      </c>
      <c r="M921" s="1" t="s">
        <v>8836</v>
      </c>
      <c r="N921" s="1" t="s">
        <v>4343</v>
      </c>
    </row>
    <row r="922" spans="1:14" x14ac:dyDescent="0.35">
      <c r="A922" s="1" t="s">
        <v>4321</v>
      </c>
      <c r="B922" s="3" t="s">
        <v>3513</v>
      </c>
      <c r="C922" s="1" t="s">
        <v>3793</v>
      </c>
      <c r="D922" s="1" t="s">
        <v>8839</v>
      </c>
      <c r="E922" s="1" t="str">
        <f>"2340"</f>
        <v>2340</v>
      </c>
      <c r="F922" s="1" t="s">
        <v>647</v>
      </c>
      <c r="G922" s="1" t="s">
        <v>648</v>
      </c>
      <c r="H922" s="1" t="s">
        <v>15</v>
      </c>
      <c r="I922" s="3" t="str">
        <f>"1"</f>
        <v>1</v>
      </c>
      <c r="J922" s="3">
        <v>23418.93</v>
      </c>
      <c r="K922" s="2">
        <v>45913</v>
      </c>
      <c r="L922" s="2">
        <v>45915</v>
      </c>
      <c r="M922" s="1" t="s">
        <v>8836</v>
      </c>
      <c r="N922" s="1" t="s">
        <v>4343</v>
      </c>
    </row>
    <row r="923" spans="1:14" x14ac:dyDescent="0.35">
      <c r="A923" s="1" t="s">
        <v>4321</v>
      </c>
      <c r="B923" s="3" t="s">
        <v>3513</v>
      </c>
      <c r="C923" s="1" t="s">
        <v>3793</v>
      </c>
      <c r="D923" s="1" t="s">
        <v>8838</v>
      </c>
      <c r="E923" s="1" t="str">
        <f>"2340"</f>
        <v>2340</v>
      </c>
      <c r="F923" s="1" t="s">
        <v>647</v>
      </c>
      <c r="G923" s="1" t="s">
        <v>648</v>
      </c>
      <c r="H923" s="1" t="s">
        <v>15</v>
      </c>
      <c r="I923" s="3" t="str">
        <f>"1"</f>
        <v>1</v>
      </c>
      <c r="J923" s="3">
        <v>23418.93</v>
      </c>
      <c r="K923" s="2">
        <v>45913</v>
      </c>
      <c r="L923" s="2">
        <v>45915</v>
      </c>
      <c r="M923" s="1" t="s">
        <v>8836</v>
      </c>
      <c r="N923" s="1" t="s">
        <v>4343</v>
      </c>
    </row>
    <row r="924" spans="1:14" x14ac:dyDescent="0.35">
      <c r="A924" s="1" t="s">
        <v>4321</v>
      </c>
      <c r="B924" s="3" t="s">
        <v>3513</v>
      </c>
      <c r="C924" s="1" t="s">
        <v>3793</v>
      </c>
      <c r="D924" s="1" t="s">
        <v>8837</v>
      </c>
      <c r="E924" s="1" t="str">
        <f>"2340"</f>
        <v>2340</v>
      </c>
      <c r="F924" s="1" t="s">
        <v>647</v>
      </c>
      <c r="G924" s="1" t="s">
        <v>648</v>
      </c>
      <c r="H924" s="1" t="s">
        <v>15</v>
      </c>
      <c r="I924" s="3" t="str">
        <f>"1"</f>
        <v>1</v>
      </c>
      <c r="J924" s="3">
        <v>23418.93</v>
      </c>
      <c r="K924" s="2">
        <v>45913</v>
      </c>
      <c r="L924" s="2">
        <v>45915</v>
      </c>
      <c r="M924" s="1" t="s">
        <v>8836</v>
      </c>
      <c r="N924" s="1" t="s">
        <v>4343</v>
      </c>
    </row>
    <row r="925" spans="1:14" x14ac:dyDescent="0.35">
      <c r="A925" s="1" t="s">
        <v>4321</v>
      </c>
      <c r="B925" s="3" t="s">
        <v>2248</v>
      </c>
      <c r="C925" s="1" t="s">
        <v>2375</v>
      </c>
      <c r="D925" s="1" t="s">
        <v>8835</v>
      </c>
      <c r="E925" s="1" t="str">
        <f>"2340"</f>
        <v>2340</v>
      </c>
      <c r="F925" s="1" t="s">
        <v>647</v>
      </c>
      <c r="G925" s="1" t="s">
        <v>648</v>
      </c>
      <c r="H925" s="1" t="s">
        <v>15</v>
      </c>
      <c r="I925" s="3" t="str">
        <f>"1"</f>
        <v>1</v>
      </c>
      <c r="J925" s="3">
        <v>23418.93</v>
      </c>
      <c r="K925" s="2">
        <v>45913</v>
      </c>
      <c r="L925" s="2">
        <v>45915</v>
      </c>
      <c r="M925" s="1" t="s">
        <v>8834</v>
      </c>
      <c r="N925" s="1" t="s">
        <v>4343</v>
      </c>
    </row>
    <row r="926" spans="1:14" x14ac:dyDescent="0.35">
      <c r="A926" s="1" t="s">
        <v>4321</v>
      </c>
      <c r="B926" s="3" t="s">
        <v>2248</v>
      </c>
      <c r="C926" s="1" t="s">
        <v>2375</v>
      </c>
      <c r="D926" s="1" t="s">
        <v>8833</v>
      </c>
      <c r="E926" s="1" t="str">
        <f>"2340"</f>
        <v>2340</v>
      </c>
      <c r="F926" s="1" t="s">
        <v>647</v>
      </c>
      <c r="G926" s="1" t="s">
        <v>648</v>
      </c>
      <c r="H926" s="1" t="s">
        <v>15</v>
      </c>
      <c r="I926" s="3" t="str">
        <f>"1"</f>
        <v>1</v>
      </c>
      <c r="J926" s="3">
        <v>23418.93</v>
      </c>
      <c r="K926" s="2">
        <v>45913</v>
      </c>
      <c r="L926" s="2">
        <v>45915</v>
      </c>
      <c r="M926" s="1" t="s">
        <v>8832</v>
      </c>
      <c r="N926" s="1" t="s">
        <v>4343</v>
      </c>
    </row>
    <row r="927" spans="1:14" x14ac:dyDescent="0.35">
      <c r="A927" s="1" t="s">
        <v>4321</v>
      </c>
      <c r="B927" s="3" t="s">
        <v>2494</v>
      </c>
      <c r="C927" s="1" t="s">
        <v>2600</v>
      </c>
      <c r="D927" s="1" t="s">
        <v>8831</v>
      </c>
      <c r="E927" s="1" t="str">
        <f>"2340"</f>
        <v>2340</v>
      </c>
      <c r="F927" s="1" t="s">
        <v>647</v>
      </c>
      <c r="G927" s="1" t="s">
        <v>648</v>
      </c>
      <c r="H927" s="1" t="s">
        <v>15</v>
      </c>
      <c r="I927" s="3" t="str">
        <f>"1"</f>
        <v>1</v>
      </c>
      <c r="J927" s="3">
        <v>11964.82</v>
      </c>
      <c r="K927" s="2">
        <v>45913</v>
      </c>
      <c r="L927" s="2">
        <v>45915</v>
      </c>
      <c r="M927" s="1" t="s">
        <v>8822</v>
      </c>
      <c r="N927" s="1" t="s">
        <v>4343</v>
      </c>
    </row>
    <row r="928" spans="1:14" x14ac:dyDescent="0.35">
      <c r="A928" s="1" t="s">
        <v>4321</v>
      </c>
      <c r="B928" s="3" t="s">
        <v>2494</v>
      </c>
      <c r="C928" s="1" t="s">
        <v>2600</v>
      </c>
      <c r="D928" s="1" t="s">
        <v>8830</v>
      </c>
      <c r="E928" s="1" t="str">
        <f>"2340"</f>
        <v>2340</v>
      </c>
      <c r="F928" s="1" t="s">
        <v>647</v>
      </c>
      <c r="G928" s="1" t="s">
        <v>648</v>
      </c>
      <c r="H928" s="1" t="s">
        <v>15</v>
      </c>
      <c r="I928" s="3" t="str">
        <f>"1"</f>
        <v>1</v>
      </c>
      <c r="J928" s="3">
        <v>23418.93</v>
      </c>
      <c r="K928" s="2">
        <v>45913</v>
      </c>
      <c r="L928" s="2">
        <v>45915</v>
      </c>
      <c r="M928" s="1" t="s">
        <v>8822</v>
      </c>
      <c r="N928" s="1" t="s">
        <v>4343</v>
      </c>
    </row>
    <row r="929" spans="1:14" x14ac:dyDescent="0.35">
      <c r="A929" s="1" t="s">
        <v>4321</v>
      </c>
      <c r="B929" s="3" t="s">
        <v>2494</v>
      </c>
      <c r="C929" s="1" t="s">
        <v>2600</v>
      </c>
      <c r="D929" s="1" t="s">
        <v>8829</v>
      </c>
      <c r="E929" s="1" t="str">
        <f>"2340"</f>
        <v>2340</v>
      </c>
      <c r="F929" s="1" t="s">
        <v>647</v>
      </c>
      <c r="G929" s="1" t="s">
        <v>648</v>
      </c>
      <c r="H929" s="1" t="s">
        <v>15</v>
      </c>
      <c r="I929" s="3" t="str">
        <f>"1"</f>
        <v>1</v>
      </c>
      <c r="J929" s="3">
        <v>23418.93</v>
      </c>
      <c r="K929" s="2">
        <v>45913</v>
      </c>
      <c r="L929" s="2">
        <v>45915</v>
      </c>
      <c r="M929" s="1" t="s">
        <v>8822</v>
      </c>
      <c r="N929" s="1" t="s">
        <v>4343</v>
      </c>
    </row>
    <row r="930" spans="1:14" x14ac:dyDescent="0.35">
      <c r="A930" s="1" t="s">
        <v>4321</v>
      </c>
      <c r="B930" s="3" t="s">
        <v>2494</v>
      </c>
      <c r="C930" s="1" t="s">
        <v>2600</v>
      </c>
      <c r="D930" s="1" t="s">
        <v>8828</v>
      </c>
      <c r="E930" s="1" t="str">
        <f>"2340"</f>
        <v>2340</v>
      </c>
      <c r="F930" s="1" t="s">
        <v>647</v>
      </c>
      <c r="G930" s="1" t="s">
        <v>648</v>
      </c>
      <c r="H930" s="1" t="s">
        <v>15</v>
      </c>
      <c r="I930" s="3" t="str">
        <f>"1"</f>
        <v>1</v>
      </c>
      <c r="J930" s="3">
        <v>23418.93</v>
      </c>
      <c r="K930" s="2">
        <v>45913</v>
      </c>
      <c r="L930" s="2">
        <v>45915</v>
      </c>
      <c r="M930" s="1" t="s">
        <v>8822</v>
      </c>
      <c r="N930" s="1" t="s">
        <v>4343</v>
      </c>
    </row>
    <row r="931" spans="1:14" x14ac:dyDescent="0.35">
      <c r="A931" s="1" t="s">
        <v>4321</v>
      </c>
      <c r="B931" s="3" t="s">
        <v>2494</v>
      </c>
      <c r="C931" s="1" t="s">
        <v>2600</v>
      </c>
      <c r="D931" s="1" t="s">
        <v>8827</v>
      </c>
      <c r="E931" s="1" t="str">
        <f>"2340"</f>
        <v>2340</v>
      </c>
      <c r="F931" s="1" t="s">
        <v>647</v>
      </c>
      <c r="G931" s="1" t="s">
        <v>648</v>
      </c>
      <c r="H931" s="1" t="s">
        <v>15</v>
      </c>
      <c r="I931" s="3" t="str">
        <f>"1"</f>
        <v>1</v>
      </c>
      <c r="J931" s="3">
        <v>23418.93</v>
      </c>
      <c r="K931" s="2">
        <v>45913</v>
      </c>
      <c r="L931" s="2">
        <v>45915</v>
      </c>
      <c r="M931" s="1" t="s">
        <v>8822</v>
      </c>
      <c r="N931" s="1" t="s">
        <v>4343</v>
      </c>
    </row>
    <row r="932" spans="1:14" x14ac:dyDescent="0.35">
      <c r="A932" s="1" t="s">
        <v>4321</v>
      </c>
      <c r="B932" s="3" t="s">
        <v>2494</v>
      </c>
      <c r="C932" s="1" t="s">
        <v>2600</v>
      </c>
      <c r="D932" s="1" t="s">
        <v>8826</v>
      </c>
      <c r="E932" s="1" t="str">
        <f>"2340"</f>
        <v>2340</v>
      </c>
      <c r="F932" s="1" t="s">
        <v>647</v>
      </c>
      <c r="G932" s="1" t="s">
        <v>648</v>
      </c>
      <c r="H932" s="1" t="s">
        <v>15</v>
      </c>
      <c r="I932" s="3" t="str">
        <f>"1"</f>
        <v>1</v>
      </c>
      <c r="J932" s="3">
        <v>23418.93</v>
      </c>
      <c r="K932" s="2">
        <v>45913</v>
      </c>
      <c r="L932" s="2">
        <v>45915</v>
      </c>
      <c r="M932" s="1" t="s">
        <v>8822</v>
      </c>
      <c r="N932" s="1" t="s">
        <v>4343</v>
      </c>
    </row>
    <row r="933" spans="1:14" x14ac:dyDescent="0.35">
      <c r="A933" s="1" t="s">
        <v>4321</v>
      </c>
      <c r="B933" s="3" t="s">
        <v>2494</v>
      </c>
      <c r="C933" s="1" t="s">
        <v>2600</v>
      </c>
      <c r="D933" s="1" t="s">
        <v>8825</v>
      </c>
      <c r="E933" s="1" t="str">
        <f>"2340"</f>
        <v>2340</v>
      </c>
      <c r="F933" s="1" t="s">
        <v>647</v>
      </c>
      <c r="G933" s="1" t="s">
        <v>648</v>
      </c>
      <c r="H933" s="1" t="s">
        <v>15</v>
      </c>
      <c r="I933" s="3" t="str">
        <f>"1"</f>
        <v>1</v>
      </c>
      <c r="J933" s="3">
        <v>23418.93</v>
      </c>
      <c r="K933" s="2">
        <v>45913</v>
      </c>
      <c r="L933" s="2">
        <v>45915</v>
      </c>
      <c r="M933" s="1" t="s">
        <v>8822</v>
      </c>
      <c r="N933" s="1" t="s">
        <v>4343</v>
      </c>
    </row>
    <row r="934" spans="1:14" x14ac:dyDescent="0.35">
      <c r="A934" s="1" t="s">
        <v>4321</v>
      </c>
      <c r="B934" s="3" t="s">
        <v>2494</v>
      </c>
      <c r="C934" s="1" t="s">
        <v>2600</v>
      </c>
      <c r="D934" s="1" t="s">
        <v>8824</v>
      </c>
      <c r="E934" s="1" t="str">
        <f>"2340"</f>
        <v>2340</v>
      </c>
      <c r="F934" s="1" t="s">
        <v>647</v>
      </c>
      <c r="G934" s="1" t="s">
        <v>648</v>
      </c>
      <c r="H934" s="1" t="s">
        <v>15</v>
      </c>
      <c r="I934" s="3" t="str">
        <f>"1"</f>
        <v>1</v>
      </c>
      <c r="J934" s="3">
        <v>23418.93</v>
      </c>
      <c r="K934" s="2">
        <v>45913</v>
      </c>
      <c r="L934" s="2">
        <v>45915</v>
      </c>
      <c r="M934" s="1" t="s">
        <v>8822</v>
      </c>
      <c r="N934" s="1" t="s">
        <v>4343</v>
      </c>
    </row>
    <row r="935" spans="1:14" x14ac:dyDescent="0.35">
      <c r="A935" s="1" t="s">
        <v>4321</v>
      </c>
      <c r="B935" s="3" t="s">
        <v>2494</v>
      </c>
      <c r="C935" s="1" t="s">
        <v>2600</v>
      </c>
      <c r="D935" s="1" t="s">
        <v>8823</v>
      </c>
      <c r="E935" s="1" t="str">
        <f>"2340"</f>
        <v>2340</v>
      </c>
      <c r="F935" s="1" t="s">
        <v>647</v>
      </c>
      <c r="G935" s="1" t="s">
        <v>648</v>
      </c>
      <c r="H935" s="1" t="s">
        <v>15</v>
      </c>
      <c r="I935" s="3" t="str">
        <f>"1"</f>
        <v>1</v>
      </c>
      <c r="J935" s="3">
        <v>23418.93</v>
      </c>
      <c r="K935" s="2">
        <v>45913</v>
      </c>
      <c r="L935" s="2">
        <v>45915</v>
      </c>
      <c r="M935" s="1" t="s">
        <v>8822</v>
      </c>
      <c r="N935" s="1" t="s">
        <v>4343</v>
      </c>
    </row>
    <row r="936" spans="1:14" x14ac:dyDescent="0.35">
      <c r="A936" s="1" t="s">
        <v>4321</v>
      </c>
      <c r="B936" s="3" t="s">
        <v>3183</v>
      </c>
      <c r="C936" s="1" t="s">
        <v>3435</v>
      </c>
      <c r="D936" s="1" t="s">
        <v>8821</v>
      </c>
      <c r="E936" s="1" t="str">
        <f>"2340"</f>
        <v>2340</v>
      </c>
      <c r="F936" s="1" t="s">
        <v>647</v>
      </c>
      <c r="G936" s="1" t="s">
        <v>648</v>
      </c>
      <c r="H936" s="1" t="s">
        <v>15</v>
      </c>
      <c r="I936" s="3" t="str">
        <f>"1"</f>
        <v>1</v>
      </c>
      <c r="J936" s="3">
        <v>23418.93</v>
      </c>
      <c r="K936" s="2">
        <v>45913</v>
      </c>
      <c r="L936" s="2">
        <v>45915</v>
      </c>
      <c r="M936" s="1" t="s">
        <v>8820</v>
      </c>
      <c r="N936" s="1" t="s">
        <v>4343</v>
      </c>
    </row>
    <row r="937" spans="1:14" x14ac:dyDescent="0.35">
      <c r="A937" s="1" t="s">
        <v>4321</v>
      </c>
      <c r="B937" s="3" t="s">
        <v>3183</v>
      </c>
      <c r="C937" s="1" t="s">
        <v>3435</v>
      </c>
      <c r="D937" s="1" t="s">
        <v>8819</v>
      </c>
      <c r="E937" s="1" t="str">
        <f>"2340"</f>
        <v>2340</v>
      </c>
      <c r="F937" s="1" t="s">
        <v>647</v>
      </c>
      <c r="G937" s="1" t="s">
        <v>648</v>
      </c>
      <c r="H937" s="1" t="s">
        <v>15</v>
      </c>
      <c r="I937" s="3" t="str">
        <f>"1"</f>
        <v>1</v>
      </c>
      <c r="J937" s="3">
        <v>23418.93</v>
      </c>
      <c r="K937" s="2">
        <v>45913</v>
      </c>
      <c r="L937" s="2">
        <v>45915</v>
      </c>
      <c r="M937" s="1" t="s">
        <v>8818</v>
      </c>
      <c r="N937" s="1" t="s">
        <v>4343</v>
      </c>
    </row>
    <row r="938" spans="1:14" x14ac:dyDescent="0.35">
      <c r="A938" s="1" t="s">
        <v>4321</v>
      </c>
      <c r="B938" s="3" t="s">
        <v>3183</v>
      </c>
      <c r="C938" s="1" t="s">
        <v>3487</v>
      </c>
      <c r="D938" s="1" t="s">
        <v>8817</v>
      </c>
      <c r="E938" s="1" t="str">
        <f>"2340"</f>
        <v>2340</v>
      </c>
      <c r="F938" s="1" t="s">
        <v>647</v>
      </c>
      <c r="G938" s="1" t="s">
        <v>648</v>
      </c>
      <c r="H938" s="1" t="s">
        <v>15</v>
      </c>
      <c r="I938" s="3" t="str">
        <f>"1"</f>
        <v>1</v>
      </c>
      <c r="J938" s="3">
        <v>23418.93</v>
      </c>
      <c r="K938" s="2">
        <v>45913</v>
      </c>
      <c r="L938" s="2">
        <v>45915</v>
      </c>
      <c r="M938" s="1" t="s">
        <v>8816</v>
      </c>
      <c r="N938" s="1" t="s">
        <v>4343</v>
      </c>
    </row>
    <row r="939" spans="1:14" x14ac:dyDescent="0.35">
      <c r="A939" s="1" t="s">
        <v>4321</v>
      </c>
      <c r="B939" s="3" t="s">
        <v>93</v>
      </c>
      <c r="C939" s="1" t="s">
        <v>450</v>
      </c>
      <c r="D939" s="1" t="s">
        <v>8815</v>
      </c>
      <c r="E939" s="1" t="str">
        <f>"2340"</f>
        <v>2340</v>
      </c>
      <c r="F939" s="1" t="s">
        <v>647</v>
      </c>
      <c r="G939" s="1" t="s">
        <v>648</v>
      </c>
      <c r="H939" s="1" t="s">
        <v>15</v>
      </c>
      <c r="I939" s="3" t="str">
        <f>"1"</f>
        <v>1</v>
      </c>
      <c r="J939" s="3">
        <v>23418.93</v>
      </c>
      <c r="K939" s="2">
        <v>45913</v>
      </c>
      <c r="L939" s="2">
        <v>45915</v>
      </c>
      <c r="M939" s="1" t="s">
        <v>8800</v>
      </c>
      <c r="N939" s="1" t="s">
        <v>4343</v>
      </c>
    </row>
    <row r="940" spans="1:14" x14ac:dyDescent="0.35">
      <c r="A940" s="1" t="s">
        <v>4321</v>
      </c>
      <c r="B940" s="3" t="s">
        <v>93</v>
      </c>
      <c r="C940" s="1" t="s">
        <v>450</v>
      </c>
      <c r="D940" s="1" t="s">
        <v>8814</v>
      </c>
      <c r="E940" s="1" t="str">
        <f>"2340"</f>
        <v>2340</v>
      </c>
      <c r="F940" s="1" t="s">
        <v>647</v>
      </c>
      <c r="G940" s="1" t="s">
        <v>648</v>
      </c>
      <c r="H940" s="1" t="s">
        <v>15</v>
      </c>
      <c r="I940" s="3" t="str">
        <f>"1"</f>
        <v>1</v>
      </c>
      <c r="J940" s="3">
        <v>23418.93</v>
      </c>
      <c r="K940" s="2">
        <v>45913</v>
      </c>
      <c r="L940" s="2">
        <v>45915</v>
      </c>
      <c r="M940" s="1" t="s">
        <v>8800</v>
      </c>
      <c r="N940" s="1" t="s">
        <v>4343</v>
      </c>
    </row>
    <row r="941" spans="1:14" x14ac:dyDescent="0.35">
      <c r="A941" s="1" t="s">
        <v>4321</v>
      </c>
      <c r="B941" s="3" t="s">
        <v>93</v>
      </c>
      <c r="C941" s="1" t="s">
        <v>450</v>
      </c>
      <c r="D941" s="1" t="s">
        <v>8813</v>
      </c>
      <c r="E941" s="1" t="str">
        <f>"2340"</f>
        <v>2340</v>
      </c>
      <c r="F941" s="1" t="s">
        <v>647</v>
      </c>
      <c r="G941" s="1" t="s">
        <v>648</v>
      </c>
      <c r="H941" s="1" t="s">
        <v>15</v>
      </c>
      <c r="I941" s="3" t="str">
        <f>"1"</f>
        <v>1</v>
      </c>
      <c r="J941" s="3">
        <v>23418.93</v>
      </c>
      <c r="K941" s="2">
        <v>45913</v>
      </c>
      <c r="L941" s="2">
        <v>45915</v>
      </c>
      <c r="M941" s="1" t="s">
        <v>8800</v>
      </c>
      <c r="N941" s="1" t="s">
        <v>4343</v>
      </c>
    </row>
    <row r="942" spans="1:14" x14ac:dyDescent="0.35">
      <c r="A942" s="1" t="s">
        <v>4321</v>
      </c>
      <c r="B942" s="3" t="s">
        <v>93</v>
      </c>
      <c r="C942" s="1" t="s">
        <v>450</v>
      </c>
      <c r="D942" s="1" t="s">
        <v>8812</v>
      </c>
      <c r="E942" s="1" t="str">
        <f>"2340"</f>
        <v>2340</v>
      </c>
      <c r="F942" s="1" t="s">
        <v>647</v>
      </c>
      <c r="G942" s="1" t="s">
        <v>648</v>
      </c>
      <c r="H942" s="1" t="s">
        <v>15</v>
      </c>
      <c r="I942" s="3" t="str">
        <f>"1"</f>
        <v>1</v>
      </c>
      <c r="J942" s="3">
        <v>23418.93</v>
      </c>
      <c r="K942" s="2">
        <v>45913</v>
      </c>
      <c r="L942" s="2">
        <v>45915</v>
      </c>
      <c r="M942" s="1" t="s">
        <v>8800</v>
      </c>
      <c r="N942" s="1" t="s">
        <v>4343</v>
      </c>
    </row>
    <row r="943" spans="1:14" x14ac:dyDescent="0.35">
      <c r="A943" s="1" t="s">
        <v>4321</v>
      </c>
      <c r="B943" s="3" t="s">
        <v>93</v>
      </c>
      <c r="C943" s="1" t="s">
        <v>450</v>
      </c>
      <c r="D943" s="1" t="s">
        <v>8811</v>
      </c>
      <c r="E943" s="1" t="str">
        <f>"2340"</f>
        <v>2340</v>
      </c>
      <c r="F943" s="1" t="s">
        <v>647</v>
      </c>
      <c r="G943" s="1" t="s">
        <v>648</v>
      </c>
      <c r="H943" s="1" t="s">
        <v>15</v>
      </c>
      <c r="I943" s="3" t="str">
        <f>"1"</f>
        <v>1</v>
      </c>
      <c r="J943" s="3">
        <v>23418.93</v>
      </c>
      <c r="K943" s="2">
        <v>45913</v>
      </c>
      <c r="L943" s="2">
        <v>45915</v>
      </c>
      <c r="M943" s="1" t="s">
        <v>8800</v>
      </c>
      <c r="N943" s="1" t="s">
        <v>4343</v>
      </c>
    </row>
    <row r="944" spans="1:14" x14ac:dyDescent="0.35">
      <c r="A944" s="1" t="s">
        <v>4321</v>
      </c>
      <c r="B944" s="3" t="s">
        <v>93</v>
      </c>
      <c r="C944" s="1" t="s">
        <v>450</v>
      </c>
      <c r="D944" s="1" t="s">
        <v>8810</v>
      </c>
      <c r="E944" s="1" t="str">
        <f>"2340"</f>
        <v>2340</v>
      </c>
      <c r="F944" s="1" t="s">
        <v>647</v>
      </c>
      <c r="G944" s="1" t="s">
        <v>648</v>
      </c>
      <c r="H944" s="1" t="s">
        <v>15</v>
      </c>
      <c r="I944" s="3" t="str">
        <f>"1"</f>
        <v>1</v>
      </c>
      <c r="J944" s="3">
        <v>23418.93</v>
      </c>
      <c r="K944" s="2">
        <v>45913</v>
      </c>
      <c r="L944" s="2">
        <v>45915</v>
      </c>
      <c r="M944" s="1" t="s">
        <v>8800</v>
      </c>
      <c r="N944" s="1" t="s">
        <v>4343</v>
      </c>
    </row>
    <row r="945" spans="1:14" x14ac:dyDescent="0.35">
      <c r="A945" s="1" t="s">
        <v>4321</v>
      </c>
      <c r="B945" s="3" t="s">
        <v>93</v>
      </c>
      <c r="C945" s="1" t="s">
        <v>450</v>
      </c>
      <c r="D945" s="1" t="s">
        <v>8809</v>
      </c>
      <c r="E945" s="1" t="str">
        <f>"2340"</f>
        <v>2340</v>
      </c>
      <c r="F945" s="1" t="s">
        <v>647</v>
      </c>
      <c r="G945" s="1" t="s">
        <v>648</v>
      </c>
      <c r="H945" s="1" t="s">
        <v>15</v>
      </c>
      <c r="I945" s="3" t="str">
        <f>"1"</f>
        <v>1</v>
      </c>
      <c r="J945" s="3">
        <v>23418.93</v>
      </c>
      <c r="K945" s="2">
        <v>45913</v>
      </c>
      <c r="L945" s="2">
        <v>45915</v>
      </c>
      <c r="M945" s="1" t="s">
        <v>8800</v>
      </c>
      <c r="N945" s="1" t="s">
        <v>4343</v>
      </c>
    </row>
    <row r="946" spans="1:14" x14ac:dyDescent="0.35">
      <c r="A946" s="1" t="s">
        <v>4321</v>
      </c>
      <c r="B946" s="3" t="s">
        <v>93</v>
      </c>
      <c r="C946" s="1" t="s">
        <v>450</v>
      </c>
      <c r="D946" s="1" t="s">
        <v>8808</v>
      </c>
      <c r="E946" s="1" t="str">
        <f>"2340"</f>
        <v>2340</v>
      </c>
      <c r="F946" s="1" t="s">
        <v>647</v>
      </c>
      <c r="G946" s="1" t="s">
        <v>648</v>
      </c>
      <c r="H946" s="1" t="s">
        <v>15</v>
      </c>
      <c r="I946" s="3" t="str">
        <f>"1"</f>
        <v>1</v>
      </c>
      <c r="J946" s="3">
        <v>23418.93</v>
      </c>
      <c r="K946" s="2">
        <v>45913</v>
      </c>
      <c r="L946" s="2">
        <v>45915</v>
      </c>
      <c r="M946" s="1" t="s">
        <v>8800</v>
      </c>
      <c r="N946" s="1" t="s">
        <v>4343</v>
      </c>
    </row>
    <row r="947" spans="1:14" x14ac:dyDescent="0.35">
      <c r="A947" s="1" t="s">
        <v>4321</v>
      </c>
      <c r="B947" s="3" t="s">
        <v>93</v>
      </c>
      <c r="C947" s="1" t="s">
        <v>450</v>
      </c>
      <c r="D947" s="1" t="s">
        <v>8807</v>
      </c>
      <c r="E947" s="1" t="str">
        <f>"2340"</f>
        <v>2340</v>
      </c>
      <c r="F947" s="1" t="s">
        <v>647</v>
      </c>
      <c r="G947" s="1" t="s">
        <v>648</v>
      </c>
      <c r="H947" s="1" t="s">
        <v>15</v>
      </c>
      <c r="I947" s="3" t="str">
        <f>"1"</f>
        <v>1</v>
      </c>
      <c r="J947" s="3">
        <v>23418.93</v>
      </c>
      <c r="K947" s="2">
        <v>45913</v>
      </c>
      <c r="L947" s="2">
        <v>45915</v>
      </c>
      <c r="M947" s="1" t="s">
        <v>8800</v>
      </c>
      <c r="N947" s="1" t="s">
        <v>4343</v>
      </c>
    </row>
    <row r="948" spans="1:14" x14ac:dyDescent="0.35">
      <c r="A948" s="1" t="s">
        <v>4321</v>
      </c>
      <c r="B948" s="3" t="s">
        <v>93</v>
      </c>
      <c r="C948" s="1" t="s">
        <v>450</v>
      </c>
      <c r="D948" s="1" t="s">
        <v>8806</v>
      </c>
      <c r="E948" s="1" t="str">
        <f>"2340"</f>
        <v>2340</v>
      </c>
      <c r="F948" s="1" t="s">
        <v>647</v>
      </c>
      <c r="G948" s="1" t="s">
        <v>648</v>
      </c>
      <c r="H948" s="1" t="s">
        <v>15</v>
      </c>
      <c r="I948" s="3" t="str">
        <f>"1"</f>
        <v>1</v>
      </c>
      <c r="J948" s="3">
        <v>23418.93</v>
      </c>
      <c r="K948" s="2">
        <v>45913</v>
      </c>
      <c r="L948" s="2">
        <v>45915</v>
      </c>
      <c r="M948" s="1" t="s">
        <v>8800</v>
      </c>
      <c r="N948" s="1" t="s">
        <v>4343</v>
      </c>
    </row>
    <row r="949" spans="1:14" x14ac:dyDescent="0.35">
      <c r="A949" s="1" t="s">
        <v>4321</v>
      </c>
      <c r="B949" s="3" t="s">
        <v>93</v>
      </c>
      <c r="C949" s="1" t="s">
        <v>450</v>
      </c>
      <c r="D949" s="1" t="s">
        <v>8805</v>
      </c>
      <c r="E949" s="1" t="str">
        <f>"2340"</f>
        <v>2340</v>
      </c>
      <c r="F949" s="1" t="s">
        <v>647</v>
      </c>
      <c r="G949" s="1" t="s">
        <v>648</v>
      </c>
      <c r="H949" s="1" t="s">
        <v>15</v>
      </c>
      <c r="I949" s="3" t="str">
        <f>"1"</f>
        <v>1</v>
      </c>
      <c r="J949" s="3">
        <v>23418.93</v>
      </c>
      <c r="K949" s="2">
        <v>45913</v>
      </c>
      <c r="L949" s="2">
        <v>45915</v>
      </c>
      <c r="M949" s="1" t="s">
        <v>8800</v>
      </c>
      <c r="N949" s="1" t="s">
        <v>4343</v>
      </c>
    </row>
    <row r="950" spans="1:14" x14ac:dyDescent="0.35">
      <c r="A950" s="1" t="s">
        <v>4321</v>
      </c>
      <c r="B950" s="3" t="s">
        <v>93</v>
      </c>
      <c r="C950" s="1" t="s">
        <v>450</v>
      </c>
      <c r="D950" s="1" t="s">
        <v>8804</v>
      </c>
      <c r="E950" s="1" t="str">
        <f>"2340"</f>
        <v>2340</v>
      </c>
      <c r="F950" s="1" t="s">
        <v>647</v>
      </c>
      <c r="G950" s="1" t="s">
        <v>648</v>
      </c>
      <c r="H950" s="1" t="s">
        <v>15</v>
      </c>
      <c r="I950" s="3" t="str">
        <f>"1"</f>
        <v>1</v>
      </c>
      <c r="J950" s="3">
        <v>23418.93</v>
      </c>
      <c r="K950" s="2">
        <v>45913</v>
      </c>
      <c r="L950" s="2">
        <v>45915</v>
      </c>
      <c r="M950" s="1" t="s">
        <v>8800</v>
      </c>
      <c r="N950" s="1" t="s">
        <v>4343</v>
      </c>
    </row>
    <row r="951" spans="1:14" x14ac:dyDescent="0.35">
      <c r="A951" s="1" t="s">
        <v>4321</v>
      </c>
      <c r="B951" s="3" t="s">
        <v>93</v>
      </c>
      <c r="C951" s="1" t="s">
        <v>450</v>
      </c>
      <c r="D951" s="1" t="s">
        <v>8803</v>
      </c>
      <c r="E951" s="1" t="str">
        <f>"2340"</f>
        <v>2340</v>
      </c>
      <c r="F951" s="1" t="s">
        <v>647</v>
      </c>
      <c r="G951" s="1" t="s">
        <v>648</v>
      </c>
      <c r="H951" s="1" t="s">
        <v>15</v>
      </c>
      <c r="I951" s="3" t="str">
        <f>"1"</f>
        <v>1</v>
      </c>
      <c r="J951" s="3">
        <v>23418.93</v>
      </c>
      <c r="K951" s="2">
        <v>45913</v>
      </c>
      <c r="L951" s="2">
        <v>45915</v>
      </c>
      <c r="M951" s="1" t="s">
        <v>8800</v>
      </c>
      <c r="N951" s="1" t="s">
        <v>4343</v>
      </c>
    </row>
    <row r="952" spans="1:14" x14ac:dyDescent="0.35">
      <c r="A952" s="1" t="s">
        <v>4321</v>
      </c>
      <c r="B952" s="3" t="s">
        <v>93</v>
      </c>
      <c r="C952" s="1" t="s">
        <v>450</v>
      </c>
      <c r="D952" s="1" t="s">
        <v>8802</v>
      </c>
      <c r="E952" s="1" t="str">
        <f>"2340"</f>
        <v>2340</v>
      </c>
      <c r="F952" s="1" t="s">
        <v>647</v>
      </c>
      <c r="G952" s="1" t="s">
        <v>648</v>
      </c>
      <c r="H952" s="1" t="s">
        <v>15</v>
      </c>
      <c r="I952" s="3" t="str">
        <f>"1"</f>
        <v>1</v>
      </c>
      <c r="J952" s="3">
        <v>23418.93</v>
      </c>
      <c r="K952" s="2">
        <v>45913</v>
      </c>
      <c r="L952" s="2">
        <v>45915</v>
      </c>
      <c r="M952" s="1" t="s">
        <v>8800</v>
      </c>
      <c r="N952" s="1" t="s">
        <v>4343</v>
      </c>
    </row>
    <row r="953" spans="1:14" x14ac:dyDescent="0.35">
      <c r="A953" s="1" t="s">
        <v>4321</v>
      </c>
      <c r="B953" s="3" t="s">
        <v>93</v>
      </c>
      <c r="C953" s="1" t="s">
        <v>450</v>
      </c>
      <c r="D953" s="1" t="s">
        <v>8801</v>
      </c>
      <c r="E953" s="1" t="str">
        <f>"2340"</f>
        <v>2340</v>
      </c>
      <c r="F953" s="1" t="s">
        <v>647</v>
      </c>
      <c r="G953" s="1" t="s">
        <v>648</v>
      </c>
      <c r="H953" s="1" t="s">
        <v>15</v>
      </c>
      <c r="I953" s="3" t="str">
        <f>"1"</f>
        <v>1</v>
      </c>
      <c r="J953" s="3">
        <v>23418.93</v>
      </c>
      <c r="K953" s="2">
        <v>45913</v>
      </c>
      <c r="L953" s="2">
        <v>45915</v>
      </c>
      <c r="M953" s="1" t="s">
        <v>8800</v>
      </c>
      <c r="N953" s="1" t="s">
        <v>4343</v>
      </c>
    </row>
    <row r="954" spans="1:14" x14ac:dyDescent="0.35">
      <c r="A954" s="1" t="s">
        <v>4321</v>
      </c>
      <c r="B954" s="3" t="s">
        <v>93</v>
      </c>
      <c r="C954" s="1" t="s">
        <v>565</v>
      </c>
      <c r="D954" s="1" t="s">
        <v>8799</v>
      </c>
      <c r="E954" s="1" t="str">
        <f>"2340"</f>
        <v>2340</v>
      </c>
      <c r="F954" s="1" t="s">
        <v>647</v>
      </c>
      <c r="G954" s="1" t="s">
        <v>648</v>
      </c>
      <c r="H954" s="1" t="s">
        <v>15</v>
      </c>
      <c r="I954" s="3" t="str">
        <f>"1"</f>
        <v>1</v>
      </c>
      <c r="J954" s="3">
        <v>23418.93</v>
      </c>
      <c r="K954" s="2">
        <v>45913</v>
      </c>
      <c r="L954" s="2">
        <v>45915</v>
      </c>
      <c r="M954" s="1" t="s">
        <v>8784</v>
      </c>
      <c r="N954" s="1" t="s">
        <v>4343</v>
      </c>
    </row>
    <row r="955" spans="1:14" x14ac:dyDescent="0.35">
      <c r="A955" s="1" t="s">
        <v>4321</v>
      </c>
      <c r="B955" s="3" t="s">
        <v>93</v>
      </c>
      <c r="C955" s="1" t="s">
        <v>565</v>
      </c>
      <c r="D955" s="1" t="s">
        <v>8798</v>
      </c>
      <c r="E955" s="1" t="str">
        <f>"2340"</f>
        <v>2340</v>
      </c>
      <c r="F955" s="1" t="s">
        <v>647</v>
      </c>
      <c r="G955" s="1" t="s">
        <v>648</v>
      </c>
      <c r="H955" s="1" t="s">
        <v>15</v>
      </c>
      <c r="I955" s="3" t="str">
        <f>"1"</f>
        <v>1</v>
      </c>
      <c r="J955" s="3">
        <v>23418.93</v>
      </c>
      <c r="K955" s="2">
        <v>45913</v>
      </c>
      <c r="L955" s="2">
        <v>45915</v>
      </c>
      <c r="M955" s="1" t="s">
        <v>8784</v>
      </c>
      <c r="N955" s="1" t="s">
        <v>4343</v>
      </c>
    </row>
    <row r="956" spans="1:14" x14ac:dyDescent="0.35">
      <c r="A956" s="1" t="s">
        <v>4321</v>
      </c>
      <c r="B956" s="3" t="s">
        <v>93</v>
      </c>
      <c r="C956" s="1" t="s">
        <v>565</v>
      </c>
      <c r="D956" s="1" t="s">
        <v>8797</v>
      </c>
      <c r="E956" s="1" t="str">
        <f>"2340"</f>
        <v>2340</v>
      </c>
      <c r="F956" s="1" t="s">
        <v>647</v>
      </c>
      <c r="G956" s="1" t="s">
        <v>648</v>
      </c>
      <c r="H956" s="1" t="s">
        <v>15</v>
      </c>
      <c r="I956" s="3" t="str">
        <f>"1"</f>
        <v>1</v>
      </c>
      <c r="J956" s="3">
        <v>23418.93</v>
      </c>
      <c r="K956" s="2">
        <v>45913</v>
      </c>
      <c r="L956" s="2">
        <v>45915</v>
      </c>
      <c r="M956" s="1" t="s">
        <v>8784</v>
      </c>
      <c r="N956" s="1" t="s">
        <v>4343</v>
      </c>
    </row>
    <row r="957" spans="1:14" x14ac:dyDescent="0.35">
      <c r="A957" s="1" t="s">
        <v>4321</v>
      </c>
      <c r="B957" s="3" t="s">
        <v>93</v>
      </c>
      <c r="C957" s="1" t="s">
        <v>565</v>
      </c>
      <c r="D957" s="1" t="s">
        <v>8796</v>
      </c>
      <c r="E957" s="1" t="str">
        <f>"2340"</f>
        <v>2340</v>
      </c>
      <c r="F957" s="1" t="s">
        <v>647</v>
      </c>
      <c r="G957" s="1" t="s">
        <v>648</v>
      </c>
      <c r="H957" s="1" t="s">
        <v>15</v>
      </c>
      <c r="I957" s="3" t="str">
        <f>"1"</f>
        <v>1</v>
      </c>
      <c r="J957" s="3">
        <v>23418.93</v>
      </c>
      <c r="K957" s="2">
        <v>45913</v>
      </c>
      <c r="L957" s="2">
        <v>45915</v>
      </c>
      <c r="M957" s="1" t="s">
        <v>8784</v>
      </c>
      <c r="N957" s="1" t="s">
        <v>4343</v>
      </c>
    </row>
    <row r="958" spans="1:14" x14ac:dyDescent="0.35">
      <c r="A958" s="1" t="s">
        <v>4321</v>
      </c>
      <c r="B958" s="3" t="s">
        <v>93</v>
      </c>
      <c r="C958" s="1" t="s">
        <v>565</v>
      </c>
      <c r="D958" s="1" t="s">
        <v>8795</v>
      </c>
      <c r="E958" s="1" t="str">
        <f>"2340"</f>
        <v>2340</v>
      </c>
      <c r="F958" s="1" t="s">
        <v>647</v>
      </c>
      <c r="G958" s="1" t="s">
        <v>648</v>
      </c>
      <c r="H958" s="1" t="s">
        <v>15</v>
      </c>
      <c r="I958" s="3" t="str">
        <f>"1"</f>
        <v>1</v>
      </c>
      <c r="J958" s="3">
        <v>23418.93</v>
      </c>
      <c r="K958" s="2">
        <v>45913</v>
      </c>
      <c r="L958" s="2">
        <v>45915</v>
      </c>
      <c r="M958" s="1" t="s">
        <v>8784</v>
      </c>
      <c r="N958" s="1" t="s">
        <v>4343</v>
      </c>
    </row>
    <row r="959" spans="1:14" x14ac:dyDescent="0.35">
      <c r="A959" s="1" t="s">
        <v>4321</v>
      </c>
      <c r="B959" s="3" t="s">
        <v>93</v>
      </c>
      <c r="C959" s="1" t="s">
        <v>565</v>
      </c>
      <c r="D959" s="1" t="s">
        <v>8794</v>
      </c>
      <c r="E959" s="1" t="str">
        <f>"2340"</f>
        <v>2340</v>
      </c>
      <c r="F959" s="1" t="s">
        <v>647</v>
      </c>
      <c r="G959" s="1" t="s">
        <v>648</v>
      </c>
      <c r="H959" s="1" t="s">
        <v>15</v>
      </c>
      <c r="I959" s="3" t="str">
        <f>"1"</f>
        <v>1</v>
      </c>
      <c r="J959" s="3">
        <v>23418.93</v>
      </c>
      <c r="K959" s="2">
        <v>45913</v>
      </c>
      <c r="L959" s="2">
        <v>45915</v>
      </c>
      <c r="M959" s="1" t="s">
        <v>8784</v>
      </c>
      <c r="N959" s="1" t="s">
        <v>4343</v>
      </c>
    </row>
    <row r="960" spans="1:14" x14ac:dyDescent="0.35">
      <c r="A960" s="1" t="s">
        <v>4321</v>
      </c>
      <c r="B960" s="3" t="s">
        <v>93</v>
      </c>
      <c r="C960" s="1" t="s">
        <v>565</v>
      </c>
      <c r="D960" s="1" t="s">
        <v>8793</v>
      </c>
      <c r="E960" s="1" t="str">
        <f>"2340"</f>
        <v>2340</v>
      </c>
      <c r="F960" s="1" t="s">
        <v>647</v>
      </c>
      <c r="G960" s="1" t="s">
        <v>648</v>
      </c>
      <c r="H960" s="1" t="s">
        <v>15</v>
      </c>
      <c r="I960" s="3" t="str">
        <f>"1"</f>
        <v>1</v>
      </c>
      <c r="J960" s="3">
        <v>23418.93</v>
      </c>
      <c r="K960" s="2">
        <v>45913</v>
      </c>
      <c r="L960" s="2">
        <v>45915</v>
      </c>
      <c r="M960" s="1" t="s">
        <v>8784</v>
      </c>
      <c r="N960" s="1" t="s">
        <v>4343</v>
      </c>
    </row>
    <row r="961" spans="1:14" x14ac:dyDescent="0.35">
      <c r="A961" s="1" t="s">
        <v>4321</v>
      </c>
      <c r="B961" s="3" t="s">
        <v>93</v>
      </c>
      <c r="C961" s="1" t="s">
        <v>565</v>
      </c>
      <c r="D961" s="1" t="s">
        <v>8792</v>
      </c>
      <c r="E961" s="1" t="str">
        <f>"2340"</f>
        <v>2340</v>
      </c>
      <c r="F961" s="1" t="s">
        <v>647</v>
      </c>
      <c r="G961" s="1" t="s">
        <v>648</v>
      </c>
      <c r="H961" s="1" t="s">
        <v>15</v>
      </c>
      <c r="I961" s="3" t="str">
        <f>"1"</f>
        <v>1</v>
      </c>
      <c r="J961" s="3">
        <v>23418.93</v>
      </c>
      <c r="K961" s="2">
        <v>45913</v>
      </c>
      <c r="L961" s="2">
        <v>45915</v>
      </c>
      <c r="M961" s="1" t="s">
        <v>8784</v>
      </c>
      <c r="N961" s="1" t="s">
        <v>4343</v>
      </c>
    </row>
    <row r="962" spans="1:14" x14ac:dyDescent="0.35">
      <c r="A962" s="1" t="s">
        <v>4321</v>
      </c>
      <c r="B962" s="3" t="s">
        <v>93</v>
      </c>
      <c r="C962" s="1" t="s">
        <v>565</v>
      </c>
      <c r="D962" s="1" t="s">
        <v>8791</v>
      </c>
      <c r="E962" s="1" t="str">
        <f>"2340"</f>
        <v>2340</v>
      </c>
      <c r="F962" s="1" t="s">
        <v>647</v>
      </c>
      <c r="G962" s="1" t="s">
        <v>648</v>
      </c>
      <c r="H962" s="1" t="s">
        <v>15</v>
      </c>
      <c r="I962" s="3" t="str">
        <f>"1"</f>
        <v>1</v>
      </c>
      <c r="J962" s="3">
        <v>23418.93</v>
      </c>
      <c r="K962" s="2">
        <v>45913</v>
      </c>
      <c r="L962" s="2">
        <v>45915</v>
      </c>
      <c r="M962" s="1" t="s">
        <v>8784</v>
      </c>
      <c r="N962" s="1" t="s">
        <v>4343</v>
      </c>
    </row>
    <row r="963" spans="1:14" x14ac:dyDescent="0.35">
      <c r="A963" s="1" t="s">
        <v>4321</v>
      </c>
      <c r="B963" s="3" t="s">
        <v>93</v>
      </c>
      <c r="C963" s="1" t="s">
        <v>565</v>
      </c>
      <c r="D963" s="1" t="s">
        <v>8790</v>
      </c>
      <c r="E963" s="1" t="str">
        <f>"2340"</f>
        <v>2340</v>
      </c>
      <c r="F963" s="1" t="s">
        <v>647</v>
      </c>
      <c r="G963" s="1" t="s">
        <v>648</v>
      </c>
      <c r="H963" s="1" t="s">
        <v>15</v>
      </c>
      <c r="I963" s="3" t="str">
        <f>"1"</f>
        <v>1</v>
      </c>
      <c r="J963" s="3">
        <v>23418.93</v>
      </c>
      <c r="K963" s="2">
        <v>45913</v>
      </c>
      <c r="L963" s="2">
        <v>45915</v>
      </c>
      <c r="M963" s="1" t="s">
        <v>8784</v>
      </c>
      <c r="N963" s="1" t="s">
        <v>4343</v>
      </c>
    </row>
    <row r="964" spans="1:14" x14ac:dyDescent="0.35">
      <c r="A964" s="1" t="s">
        <v>4321</v>
      </c>
      <c r="B964" s="3" t="s">
        <v>93</v>
      </c>
      <c r="C964" s="1" t="s">
        <v>565</v>
      </c>
      <c r="D964" s="1" t="s">
        <v>8789</v>
      </c>
      <c r="E964" s="1" t="str">
        <f>"2340"</f>
        <v>2340</v>
      </c>
      <c r="F964" s="1" t="s">
        <v>647</v>
      </c>
      <c r="G964" s="1" t="s">
        <v>648</v>
      </c>
      <c r="H964" s="1" t="s">
        <v>15</v>
      </c>
      <c r="I964" s="3" t="str">
        <f>"1"</f>
        <v>1</v>
      </c>
      <c r="J964" s="3">
        <v>23418.93</v>
      </c>
      <c r="K964" s="2">
        <v>45913</v>
      </c>
      <c r="L964" s="2">
        <v>45915</v>
      </c>
      <c r="M964" s="1" t="s">
        <v>8784</v>
      </c>
      <c r="N964" s="1" t="s">
        <v>4343</v>
      </c>
    </row>
    <row r="965" spans="1:14" x14ac:dyDescent="0.35">
      <c r="A965" s="1" t="s">
        <v>4321</v>
      </c>
      <c r="B965" s="3" t="s">
        <v>93</v>
      </c>
      <c r="C965" s="1" t="s">
        <v>565</v>
      </c>
      <c r="D965" s="1" t="s">
        <v>8788</v>
      </c>
      <c r="E965" s="1" t="str">
        <f>"2340"</f>
        <v>2340</v>
      </c>
      <c r="F965" s="1" t="s">
        <v>647</v>
      </c>
      <c r="G965" s="1" t="s">
        <v>648</v>
      </c>
      <c r="H965" s="1" t="s">
        <v>15</v>
      </c>
      <c r="I965" s="3" t="str">
        <f>"1"</f>
        <v>1</v>
      </c>
      <c r="J965" s="3">
        <v>23418.93</v>
      </c>
      <c r="K965" s="2">
        <v>45913</v>
      </c>
      <c r="L965" s="2">
        <v>45915</v>
      </c>
      <c r="M965" s="1" t="s">
        <v>8784</v>
      </c>
      <c r="N965" s="1" t="s">
        <v>4343</v>
      </c>
    </row>
    <row r="966" spans="1:14" x14ac:dyDescent="0.35">
      <c r="A966" s="1" t="s">
        <v>4321</v>
      </c>
      <c r="B966" s="3" t="s">
        <v>93</v>
      </c>
      <c r="C966" s="1" t="s">
        <v>565</v>
      </c>
      <c r="D966" s="1" t="s">
        <v>8787</v>
      </c>
      <c r="E966" s="1" t="str">
        <f>"2340"</f>
        <v>2340</v>
      </c>
      <c r="F966" s="1" t="s">
        <v>647</v>
      </c>
      <c r="G966" s="1" t="s">
        <v>648</v>
      </c>
      <c r="H966" s="1" t="s">
        <v>15</v>
      </c>
      <c r="I966" s="3" t="str">
        <f>"1"</f>
        <v>1</v>
      </c>
      <c r="J966" s="3">
        <v>23418.93</v>
      </c>
      <c r="K966" s="2">
        <v>45913</v>
      </c>
      <c r="L966" s="2">
        <v>45915</v>
      </c>
      <c r="M966" s="1" t="s">
        <v>8784</v>
      </c>
      <c r="N966" s="1" t="s">
        <v>4343</v>
      </c>
    </row>
    <row r="967" spans="1:14" x14ac:dyDescent="0.35">
      <c r="A967" s="1" t="s">
        <v>4321</v>
      </c>
      <c r="B967" s="3" t="s">
        <v>93</v>
      </c>
      <c r="C967" s="1" t="s">
        <v>565</v>
      </c>
      <c r="D967" s="1" t="s">
        <v>8786</v>
      </c>
      <c r="E967" s="1" t="str">
        <f>"2340"</f>
        <v>2340</v>
      </c>
      <c r="F967" s="1" t="s">
        <v>647</v>
      </c>
      <c r="G967" s="1" t="s">
        <v>648</v>
      </c>
      <c r="H967" s="1" t="s">
        <v>15</v>
      </c>
      <c r="I967" s="3" t="str">
        <f>"1"</f>
        <v>1</v>
      </c>
      <c r="J967" s="3">
        <v>23418.93</v>
      </c>
      <c r="K967" s="2">
        <v>45913</v>
      </c>
      <c r="L967" s="2">
        <v>45915</v>
      </c>
      <c r="M967" s="1" t="s">
        <v>8784</v>
      </c>
      <c r="N967" s="1" t="s">
        <v>4343</v>
      </c>
    </row>
    <row r="968" spans="1:14" x14ac:dyDescent="0.35">
      <c r="A968" s="1" t="s">
        <v>4321</v>
      </c>
      <c r="B968" s="3" t="s">
        <v>93</v>
      </c>
      <c r="C968" s="1" t="s">
        <v>565</v>
      </c>
      <c r="D968" s="1" t="s">
        <v>8785</v>
      </c>
      <c r="E968" s="1" t="str">
        <f>"2340"</f>
        <v>2340</v>
      </c>
      <c r="F968" s="1" t="s">
        <v>647</v>
      </c>
      <c r="G968" s="1" t="s">
        <v>648</v>
      </c>
      <c r="H968" s="1" t="s">
        <v>15</v>
      </c>
      <c r="I968" s="3" t="str">
        <f>"1"</f>
        <v>1</v>
      </c>
      <c r="J968" s="3">
        <v>23418.93</v>
      </c>
      <c r="K968" s="2">
        <v>45913</v>
      </c>
      <c r="L968" s="2">
        <v>45915</v>
      </c>
      <c r="M968" s="1" t="s">
        <v>8784</v>
      </c>
      <c r="N968" s="1" t="s">
        <v>4343</v>
      </c>
    </row>
    <row r="969" spans="1:14" x14ac:dyDescent="0.35">
      <c r="A969" s="1" t="s">
        <v>4321</v>
      </c>
      <c r="B969" s="3" t="s">
        <v>1699</v>
      </c>
      <c r="C969" s="1" t="s">
        <v>1818</v>
      </c>
      <c r="D969" s="1" t="s">
        <v>8783</v>
      </c>
      <c r="E969" s="1" t="str">
        <f>"2340"</f>
        <v>2340</v>
      </c>
      <c r="F969" s="1" t="s">
        <v>647</v>
      </c>
      <c r="G969" s="1" t="s">
        <v>648</v>
      </c>
      <c r="H969" s="1" t="s">
        <v>15</v>
      </c>
      <c r="I969" s="3" t="str">
        <f>"1"</f>
        <v>1</v>
      </c>
      <c r="J969" s="3">
        <v>23418.93</v>
      </c>
      <c r="K969" s="2">
        <v>45913</v>
      </c>
      <c r="L969" s="2">
        <v>45915</v>
      </c>
      <c r="M969" s="1" t="s">
        <v>8767</v>
      </c>
      <c r="N969" s="1" t="s">
        <v>4343</v>
      </c>
    </row>
    <row r="970" spans="1:14" x14ac:dyDescent="0.35">
      <c r="A970" s="1" t="s">
        <v>4321</v>
      </c>
      <c r="B970" s="3" t="s">
        <v>1699</v>
      </c>
      <c r="C970" s="1" t="s">
        <v>1818</v>
      </c>
      <c r="D970" s="1" t="s">
        <v>8782</v>
      </c>
      <c r="E970" s="1" t="str">
        <f>"2340"</f>
        <v>2340</v>
      </c>
      <c r="F970" s="1" t="s">
        <v>647</v>
      </c>
      <c r="G970" s="1" t="s">
        <v>648</v>
      </c>
      <c r="H970" s="1" t="s">
        <v>15</v>
      </c>
      <c r="I970" s="3" t="str">
        <f>"1"</f>
        <v>1</v>
      </c>
      <c r="J970" s="3">
        <v>23418.93</v>
      </c>
      <c r="K970" s="2">
        <v>45913</v>
      </c>
      <c r="L970" s="2">
        <v>45915</v>
      </c>
      <c r="M970" s="1" t="s">
        <v>8767</v>
      </c>
      <c r="N970" s="1" t="s">
        <v>4343</v>
      </c>
    </row>
    <row r="971" spans="1:14" x14ac:dyDescent="0.35">
      <c r="A971" s="1" t="s">
        <v>4321</v>
      </c>
      <c r="B971" s="3" t="s">
        <v>1699</v>
      </c>
      <c r="C971" s="1" t="s">
        <v>1818</v>
      </c>
      <c r="D971" s="1" t="s">
        <v>8781</v>
      </c>
      <c r="E971" s="1" t="str">
        <f>"2340"</f>
        <v>2340</v>
      </c>
      <c r="F971" s="1" t="s">
        <v>647</v>
      </c>
      <c r="G971" s="1" t="s">
        <v>648</v>
      </c>
      <c r="H971" s="1" t="s">
        <v>15</v>
      </c>
      <c r="I971" s="3" t="str">
        <f>"1"</f>
        <v>1</v>
      </c>
      <c r="J971" s="3">
        <v>23418.93</v>
      </c>
      <c r="K971" s="2">
        <v>45913</v>
      </c>
      <c r="L971" s="2">
        <v>45915</v>
      </c>
      <c r="M971" s="1" t="s">
        <v>8767</v>
      </c>
      <c r="N971" s="1" t="s">
        <v>4343</v>
      </c>
    </row>
    <row r="972" spans="1:14" x14ac:dyDescent="0.35">
      <c r="A972" s="1" t="s">
        <v>4321</v>
      </c>
      <c r="B972" s="3" t="s">
        <v>1699</v>
      </c>
      <c r="C972" s="1" t="s">
        <v>1818</v>
      </c>
      <c r="D972" s="1" t="s">
        <v>8780</v>
      </c>
      <c r="E972" s="1" t="str">
        <f>"2340"</f>
        <v>2340</v>
      </c>
      <c r="F972" s="1" t="s">
        <v>647</v>
      </c>
      <c r="G972" s="1" t="s">
        <v>648</v>
      </c>
      <c r="H972" s="1" t="s">
        <v>15</v>
      </c>
      <c r="I972" s="3" t="str">
        <f>"1"</f>
        <v>1</v>
      </c>
      <c r="J972" s="3">
        <v>23418.93</v>
      </c>
      <c r="K972" s="2">
        <v>45913</v>
      </c>
      <c r="L972" s="2">
        <v>45915</v>
      </c>
      <c r="M972" s="1" t="s">
        <v>8767</v>
      </c>
      <c r="N972" s="1" t="s">
        <v>4343</v>
      </c>
    </row>
    <row r="973" spans="1:14" x14ac:dyDescent="0.35">
      <c r="A973" s="1" t="s">
        <v>4321</v>
      </c>
      <c r="B973" s="3" t="s">
        <v>1699</v>
      </c>
      <c r="C973" s="1" t="s">
        <v>1818</v>
      </c>
      <c r="D973" s="1" t="s">
        <v>8779</v>
      </c>
      <c r="E973" s="1" t="str">
        <f>"2340"</f>
        <v>2340</v>
      </c>
      <c r="F973" s="1" t="s">
        <v>647</v>
      </c>
      <c r="G973" s="1" t="s">
        <v>648</v>
      </c>
      <c r="H973" s="1" t="s">
        <v>15</v>
      </c>
      <c r="I973" s="3" t="str">
        <f>"1"</f>
        <v>1</v>
      </c>
      <c r="J973" s="3">
        <v>23418.93</v>
      </c>
      <c r="K973" s="2">
        <v>45913</v>
      </c>
      <c r="L973" s="2">
        <v>45915</v>
      </c>
      <c r="M973" s="1" t="s">
        <v>8767</v>
      </c>
      <c r="N973" s="1" t="s">
        <v>4343</v>
      </c>
    </row>
    <row r="974" spans="1:14" x14ac:dyDescent="0.35">
      <c r="A974" s="1" t="s">
        <v>4321</v>
      </c>
      <c r="B974" s="3" t="s">
        <v>1699</v>
      </c>
      <c r="C974" s="1" t="s">
        <v>1818</v>
      </c>
      <c r="D974" s="1" t="s">
        <v>8778</v>
      </c>
      <c r="E974" s="1" t="str">
        <f>"2340"</f>
        <v>2340</v>
      </c>
      <c r="F974" s="1" t="s">
        <v>647</v>
      </c>
      <c r="G974" s="1" t="s">
        <v>648</v>
      </c>
      <c r="H974" s="1" t="s">
        <v>15</v>
      </c>
      <c r="I974" s="3" t="str">
        <f>"1"</f>
        <v>1</v>
      </c>
      <c r="J974" s="3">
        <v>23418.93</v>
      </c>
      <c r="K974" s="2">
        <v>45913</v>
      </c>
      <c r="L974" s="2">
        <v>45915</v>
      </c>
      <c r="M974" s="1" t="s">
        <v>8767</v>
      </c>
      <c r="N974" s="1" t="s">
        <v>4343</v>
      </c>
    </row>
    <row r="975" spans="1:14" x14ac:dyDescent="0.35">
      <c r="A975" s="1" t="s">
        <v>4321</v>
      </c>
      <c r="B975" s="3" t="s">
        <v>1699</v>
      </c>
      <c r="C975" s="1" t="s">
        <v>1818</v>
      </c>
      <c r="D975" s="1" t="s">
        <v>8777</v>
      </c>
      <c r="E975" s="1" t="str">
        <f>"2340"</f>
        <v>2340</v>
      </c>
      <c r="F975" s="1" t="s">
        <v>647</v>
      </c>
      <c r="G975" s="1" t="s">
        <v>648</v>
      </c>
      <c r="H975" s="1" t="s">
        <v>15</v>
      </c>
      <c r="I975" s="3" t="str">
        <f>"1"</f>
        <v>1</v>
      </c>
      <c r="J975" s="3">
        <v>23418.93</v>
      </c>
      <c r="K975" s="2">
        <v>45913</v>
      </c>
      <c r="L975" s="2">
        <v>45915</v>
      </c>
      <c r="M975" s="1" t="s">
        <v>8767</v>
      </c>
      <c r="N975" s="1" t="s">
        <v>4343</v>
      </c>
    </row>
    <row r="976" spans="1:14" x14ac:dyDescent="0.35">
      <c r="A976" s="1" t="s">
        <v>4321</v>
      </c>
      <c r="B976" s="3" t="s">
        <v>1699</v>
      </c>
      <c r="C976" s="1" t="s">
        <v>1818</v>
      </c>
      <c r="D976" s="1" t="s">
        <v>8776</v>
      </c>
      <c r="E976" s="1" t="str">
        <f>"2340"</f>
        <v>2340</v>
      </c>
      <c r="F976" s="1" t="s">
        <v>647</v>
      </c>
      <c r="G976" s="1" t="s">
        <v>648</v>
      </c>
      <c r="H976" s="1" t="s">
        <v>15</v>
      </c>
      <c r="I976" s="3" t="str">
        <f>"1"</f>
        <v>1</v>
      </c>
      <c r="J976" s="3">
        <v>23418.93</v>
      </c>
      <c r="K976" s="2">
        <v>45913</v>
      </c>
      <c r="L976" s="2">
        <v>45915</v>
      </c>
      <c r="M976" s="1" t="s">
        <v>8767</v>
      </c>
      <c r="N976" s="1" t="s">
        <v>4343</v>
      </c>
    </row>
    <row r="977" spans="1:14" x14ac:dyDescent="0.35">
      <c r="A977" s="1" t="s">
        <v>4321</v>
      </c>
      <c r="B977" s="3" t="s">
        <v>1699</v>
      </c>
      <c r="C977" s="1" t="s">
        <v>1818</v>
      </c>
      <c r="D977" s="1" t="s">
        <v>8775</v>
      </c>
      <c r="E977" s="1" t="str">
        <f>"2340"</f>
        <v>2340</v>
      </c>
      <c r="F977" s="1" t="s">
        <v>647</v>
      </c>
      <c r="G977" s="1" t="s">
        <v>648</v>
      </c>
      <c r="H977" s="1" t="s">
        <v>15</v>
      </c>
      <c r="I977" s="3" t="str">
        <f>"1"</f>
        <v>1</v>
      </c>
      <c r="J977" s="3">
        <v>23418.93</v>
      </c>
      <c r="K977" s="2">
        <v>45913</v>
      </c>
      <c r="L977" s="2">
        <v>45915</v>
      </c>
      <c r="M977" s="1" t="s">
        <v>8767</v>
      </c>
      <c r="N977" s="1" t="s">
        <v>4343</v>
      </c>
    </row>
    <row r="978" spans="1:14" x14ac:dyDescent="0.35">
      <c r="A978" s="1" t="s">
        <v>4321</v>
      </c>
      <c r="B978" s="3" t="s">
        <v>1699</v>
      </c>
      <c r="C978" s="1" t="s">
        <v>1818</v>
      </c>
      <c r="D978" s="1" t="s">
        <v>8774</v>
      </c>
      <c r="E978" s="1" t="str">
        <f>"2340"</f>
        <v>2340</v>
      </c>
      <c r="F978" s="1" t="s">
        <v>647</v>
      </c>
      <c r="G978" s="1" t="s">
        <v>648</v>
      </c>
      <c r="H978" s="1" t="s">
        <v>15</v>
      </c>
      <c r="I978" s="3" t="str">
        <f>"1"</f>
        <v>1</v>
      </c>
      <c r="J978" s="3">
        <v>23418.93</v>
      </c>
      <c r="K978" s="2">
        <v>45913</v>
      </c>
      <c r="L978" s="2">
        <v>45915</v>
      </c>
      <c r="M978" s="1" t="s">
        <v>8767</v>
      </c>
      <c r="N978" s="1" t="s">
        <v>4343</v>
      </c>
    </row>
    <row r="979" spans="1:14" x14ac:dyDescent="0.35">
      <c r="A979" s="1" t="s">
        <v>4321</v>
      </c>
      <c r="B979" s="3" t="s">
        <v>1699</v>
      </c>
      <c r="C979" s="1" t="s">
        <v>1818</v>
      </c>
      <c r="D979" s="1" t="s">
        <v>8773</v>
      </c>
      <c r="E979" s="1" t="str">
        <f>"2340"</f>
        <v>2340</v>
      </c>
      <c r="F979" s="1" t="s">
        <v>647</v>
      </c>
      <c r="G979" s="1" t="s">
        <v>648</v>
      </c>
      <c r="H979" s="1" t="s">
        <v>15</v>
      </c>
      <c r="I979" s="3" t="str">
        <f>"1"</f>
        <v>1</v>
      </c>
      <c r="J979" s="3">
        <v>23418.93</v>
      </c>
      <c r="K979" s="2">
        <v>45913</v>
      </c>
      <c r="L979" s="2">
        <v>45915</v>
      </c>
      <c r="M979" s="1" t="s">
        <v>8767</v>
      </c>
      <c r="N979" s="1" t="s">
        <v>4343</v>
      </c>
    </row>
    <row r="980" spans="1:14" x14ac:dyDescent="0.35">
      <c r="A980" s="1" t="s">
        <v>4321</v>
      </c>
      <c r="B980" s="3" t="s">
        <v>1699</v>
      </c>
      <c r="C980" s="1" t="s">
        <v>1818</v>
      </c>
      <c r="D980" s="1" t="s">
        <v>8772</v>
      </c>
      <c r="E980" s="1" t="str">
        <f>"2340"</f>
        <v>2340</v>
      </c>
      <c r="F980" s="1" t="s">
        <v>647</v>
      </c>
      <c r="G980" s="1" t="s">
        <v>648</v>
      </c>
      <c r="H980" s="1" t="s">
        <v>15</v>
      </c>
      <c r="I980" s="3" t="str">
        <f>"1"</f>
        <v>1</v>
      </c>
      <c r="J980" s="3">
        <v>23418.93</v>
      </c>
      <c r="K980" s="2">
        <v>45913</v>
      </c>
      <c r="L980" s="2">
        <v>45915</v>
      </c>
      <c r="M980" s="1" t="s">
        <v>8767</v>
      </c>
      <c r="N980" s="1" t="s">
        <v>4343</v>
      </c>
    </row>
    <row r="981" spans="1:14" x14ac:dyDescent="0.35">
      <c r="A981" s="1" t="s">
        <v>4321</v>
      </c>
      <c r="B981" s="3" t="s">
        <v>1699</v>
      </c>
      <c r="C981" s="1" t="s">
        <v>1818</v>
      </c>
      <c r="D981" s="1" t="s">
        <v>8771</v>
      </c>
      <c r="E981" s="1" t="str">
        <f>"2340"</f>
        <v>2340</v>
      </c>
      <c r="F981" s="1" t="s">
        <v>647</v>
      </c>
      <c r="G981" s="1" t="s">
        <v>648</v>
      </c>
      <c r="H981" s="1" t="s">
        <v>15</v>
      </c>
      <c r="I981" s="3" t="str">
        <f>"1"</f>
        <v>1</v>
      </c>
      <c r="J981" s="3">
        <v>23418.93</v>
      </c>
      <c r="K981" s="2">
        <v>45913</v>
      </c>
      <c r="L981" s="2">
        <v>45915</v>
      </c>
      <c r="M981" s="1" t="s">
        <v>8767</v>
      </c>
      <c r="N981" s="1" t="s">
        <v>4343</v>
      </c>
    </row>
    <row r="982" spans="1:14" x14ac:dyDescent="0.35">
      <c r="A982" s="1" t="s">
        <v>4321</v>
      </c>
      <c r="B982" s="3" t="s">
        <v>1699</v>
      </c>
      <c r="C982" s="1" t="s">
        <v>1818</v>
      </c>
      <c r="D982" s="1" t="s">
        <v>8770</v>
      </c>
      <c r="E982" s="1" t="str">
        <f>"2340"</f>
        <v>2340</v>
      </c>
      <c r="F982" s="1" t="s">
        <v>647</v>
      </c>
      <c r="G982" s="1" t="s">
        <v>648</v>
      </c>
      <c r="H982" s="1" t="s">
        <v>15</v>
      </c>
      <c r="I982" s="3" t="str">
        <f>"1"</f>
        <v>1</v>
      </c>
      <c r="J982" s="3">
        <v>23418.93</v>
      </c>
      <c r="K982" s="2">
        <v>45913</v>
      </c>
      <c r="L982" s="2">
        <v>45915</v>
      </c>
      <c r="M982" s="1" t="s">
        <v>8767</v>
      </c>
      <c r="N982" s="1" t="s">
        <v>4343</v>
      </c>
    </row>
    <row r="983" spans="1:14" x14ac:dyDescent="0.35">
      <c r="A983" s="1" t="s">
        <v>4321</v>
      </c>
      <c r="B983" s="3" t="s">
        <v>1699</v>
      </c>
      <c r="C983" s="1" t="s">
        <v>1818</v>
      </c>
      <c r="D983" s="1" t="s">
        <v>8769</v>
      </c>
      <c r="E983" s="1" t="str">
        <f>"2340"</f>
        <v>2340</v>
      </c>
      <c r="F983" s="1" t="s">
        <v>647</v>
      </c>
      <c r="G983" s="1" t="s">
        <v>648</v>
      </c>
      <c r="H983" s="1" t="s">
        <v>15</v>
      </c>
      <c r="I983" s="3" t="str">
        <f>"1"</f>
        <v>1</v>
      </c>
      <c r="J983" s="3">
        <v>23418.93</v>
      </c>
      <c r="K983" s="2">
        <v>45913</v>
      </c>
      <c r="L983" s="2">
        <v>45915</v>
      </c>
      <c r="M983" s="1" t="s">
        <v>8767</v>
      </c>
      <c r="N983" s="1" t="s">
        <v>4343</v>
      </c>
    </row>
    <row r="984" spans="1:14" x14ac:dyDescent="0.35">
      <c r="A984" s="1" t="s">
        <v>4321</v>
      </c>
      <c r="B984" s="3" t="s">
        <v>1699</v>
      </c>
      <c r="C984" s="1" t="s">
        <v>1818</v>
      </c>
      <c r="D984" s="1" t="s">
        <v>8768</v>
      </c>
      <c r="E984" s="1" t="str">
        <f>"2340"</f>
        <v>2340</v>
      </c>
      <c r="F984" s="1" t="s">
        <v>647</v>
      </c>
      <c r="G984" s="1" t="s">
        <v>648</v>
      </c>
      <c r="H984" s="1" t="s">
        <v>15</v>
      </c>
      <c r="I984" s="3" t="str">
        <f>"1"</f>
        <v>1</v>
      </c>
      <c r="J984" s="3">
        <v>23418.93</v>
      </c>
      <c r="K984" s="2">
        <v>45913</v>
      </c>
      <c r="L984" s="2">
        <v>45915</v>
      </c>
      <c r="M984" s="1" t="s">
        <v>8767</v>
      </c>
      <c r="N984" s="1" t="s">
        <v>4343</v>
      </c>
    </row>
    <row r="985" spans="1:14" x14ac:dyDescent="0.35">
      <c r="A985" s="1" t="s">
        <v>4321</v>
      </c>
      <c r="B985" s="3" t="s">
        <v>601</v>
      </c>
      <c r="C985" s="1" t="s">
        <v>683</v>
      </c>
      <c r="D985" s="1" t="s">
        <v>8766</v>
      </c>
      <c r="E985" s="1" t="str">
        <f>"8465"</f>
        <v>8465</v>
      </c>
      <c r="F985" s="1" t="s">
        <v>2516</v>
      </c>
      <c r="G985" s="1" t="s">
        <v>2517</v>
      </c>
      <c r="H985" s="1" t="s">
        <v>15</v>
      </c>
      <c r="I985" s="3" t="str">
        <f>"31"</f>
        <v>31</v>
      </c>
      <c r="J985" s="3" t="str">
        <f>"125"</f>
        <v>125</v>
      </c>
      <c r="K985" s="2">
        <v>45912</v>
      </c>
      <c r="L985" s="2">
        <v>45915</v>
      </c>
      <c r="M985" s="1" t="s">
        <v>8765</v>
      </c>
      <c r="N985" s="1" t="s">
        <v>4343</v>
      </c>
    </row>
    <row r="986" spans="1:14" x14ac:dyDescent="0.35">
      <c r="A986" s="1" t="s">
        <v>4321</v>
      </c>
      <c r="B986" s="3" t="s">
        <v>2494</v>
      </c>
      <c r="C986" s="1" t="s">
        <v>2627</v>
      </c>
      <c r="D986" s="1" t="s">
        <v>8764</v>
      </c>
      <c r="E986" s="1" t="str">
        <f>"8150"</f>
        <v>8150</v>
      </c>
      <c r="F986" s="1" t="str">
        <f>"014839125"</f>
        <v>014839125</v>
      </c>
      <c r="G986" s="1" t="s">
        <v>448</v>
      </c>
      <c r="H986" s="1" t="s">
        <v>15</v>
      </c>
      <c r="I986" s="3" t="str">
        <f>"1"</f>
        <v>1</v>
      </c>
      <c r="J986" s="3">
        <v>7201.19</v>
      </c>
      <c r="K986" s="2">
        <v>45911</v>
      </c>
      <c r="L986" s="2">
        <v>45915</v>
      </c>
      <c r="M986" s="1" t="s">
        <v>8763</v>
      </c>
      <c r="N986" s="1" t="s">
        <v>8762</v>
      </c>
    </row>
    <row r="987" spans="1:14" x14ac:dyDescent="0.35">
      <c r="A987" s="1" t="s">
        <v>4321</v>
      </c>
      <c r="B987" s="3" t="s">
        <v>2000</v>
      </c>
      <c r="C987" s="1" t="s">
        <v>2001</v>
      </c>
      <c r="D987" s="1" t="s">
        <v>8761</v>
      </c>
      <c r="E987" s="1" t="str">
        <f>"2320"</f>
        <v>2320</v>
      </c>
      <c r="F987" s="1" t="s">
        <v>274</v>
      </c>
      <c r="G987" s="1" t="s">
        <v>275</v>
      </c>
      <c r="H987" s="1" t="s">
        <v>15</v>
      </c>
      <c r="I987" s="3" t="str">
        <f>"1"</f>
        <v>1</v>
      </c>
      <c r="J987" s="3" t="str">
        <f>"40000"</f>
        <v>40000</v>
      </c>
      <c r="K987" s="2">
        <v>45906</v>
      </c>
      <c r="L987" s="2">
        <v>45915</v>
      </c>
      <c r="M987" s="1" t="s">
        <v>8760</v>
      </c>
      <c r="N987" s="1" t="s">
        <v>8759</v>
      </c>
    </row>
    <row r="988" spans="1:14" x14ac:dyDescent="0.35">
      <c r="A988" s="1" t="s">
        <v>4321</v>
      </c>
      <c r="B988" s="3" t="s">
        <v>2494</v>
      </c>
      <c r="C988" s="1" t="s">
        <v>2584</v>
      </c>
      <c r="D988" s="1" t="s">
        <v>8758</v>
      </c>
      <c r="E988" s="1" t="str">
        <f>"8115"</f>
        <v>8115</v>
      </c>
      <c r="F988" s="1" t="s">
        <v>1422</v>
      </c>
      <c r="G988" s="1" t="s">
        <v>1423</v>
      </c>
      <c r="H988" s="1" t="s">
        <v>15</v>
      </c>
      <c r="I988" s="3" t="str">
        <f>"4"</f>
        <v>4</v>
      </c>
      <c r="J988" s="3" t="str">
        <f>"100"</f>
        <v>100</v>
      </c>
      <c r="K988" s="2">
        <v>45906</v>
      </c>
      <c r="L988" s="2">
        <v>45915</v>
      </c>
      <c r="M988" s="1" t="s">
        <v>2593</v>
      </c>
      <c r="N988" s="1" t="s">
        <v>8757</v>
      </c>
    </row>
    <row r="989" spans="1:14" x14ac:dyDescent="0.35">
      <c r="A989" s="1" t="s">
        <v>4321</v>
      </c>
      <c r="B989" s="3" t="s">
        <v>3183</v>
      </c>
      <c r="C989" s="1" t="s">
        <v>3256</v>
      </c>
      <c r="D989" s="1" t="s">
        <v>8756</v>
      </c>
      <c r="E989" s="1" t="str">
        <f>"6310"</f>
        <v>6310</v>
      </c>
      <c r="F989" s="1" t="s">
        <v>1860</v>
      </c>
      <c r="G989" s="1" t="s">
        <v>1861</v>
      </c>
      <c r="H989" s="1" t="s">
        <v>15</v>
      </c>
      <c r="I989" s="3" t="str">
        <f>"1"</f>
        <v>1</v>
      </c>
      <c r="J989" s="3" t="str">
        <f>"800"</f>
        <v>800</v>
      </c>
      <c r="K989" s="2">
        <v>45899</v>
      </c>
      <c r="L989" s="2">
        <v>45915</v>
      </c>
      <c r="M989" s="1" t="s">
        <v>8755</v>
      </c>
      <c r="N989" s="1" t="s">
        <v>8754</v>
      </c>
    </row>
    <row r="990" spans="1:14" x14ac:dyDescent="0.35">
      <c r="A990" s="1" t="s">
        <v>4321</v>
      </c>
      <c r="B990" s="3" t="s">
        <v>2248</v>
      </c>
      <c r="C990" s="1" t="s">
        <v>7603</v>
      </c>
      <c r="D990" s="1" t="s">
        <v>8753</v>
      </c>
      <c r="E990" s="1" t="str">
        <f>"1385"</f>
        <v>1385</v>
      </c>
      <c r="F990" s="1" t="str">
        <f>"015744707"</f>
        <v>015744707</v>
      </c>
      <c r="G990" s="1" t="s">
        <v>2247</v>
      </c>
      <c r="H990" s="1" t="s">
        <v>15</v>
      </c>
      <c r="I990" s="3" t="str">
        <f>"1"</f>
        <v>1</v>
      </c>
      <c r="J990" s="3" t="str">
        <f>"10000"</f>
        <v>10000</v>
      </c>
      <c r="K990" s="2">
        <v>45897</v>
      </c>
      <c r="L990" s="2">
        <v>45915</v>
      </c>
      <c r="M990" s="1" t="s">
        <v>8752</v>
      </c>
      <c r="N990" s="1" t="s">
        <v>8751</v>
      </c>
    </row>
    <row r="991" spans="1:14" x14ac:dyDescent="0.35">
      <c r="A991" s="1" t="s">
        <v>4321</v>
      </c>
      <c r="B991" s="3" t="s">
        <v>1407</v>
      </c>
      <c r="C991" s="1" t="s">
        <v>1420</v>
      </c>
      <c r="D991" s="1" t="s">
        <v>8750</v>
      </c>
      <c r="E991" s="1" t="str">
        <f>"8465"</f>
        <v>8465</v>
      </c>
      <c r="F991" s="1" t="str">
        <f>"016036613"</f>
        <v>016036613</v>
      </c>
      <c r="G991" s="1" t="s">
        <v>804</v>
      </c>
      <c r="H991" s="1" t="s">
        <v>15</v>
      </c>
      <c r="I991" s="3" t="str">
        <f>"25"</f>
        <v>25</v>
      </c>
      <c r="J991" s="3">
        <v>411.37</v>
      </c>
      <c r="K991" s="2">
        <v>45894</v>
      </c>
      <c r="L991" s="2">
        <v>45915</v>
      </c>
      <c r="M991" s="1" t="s">
        <v>8749</v>
      </c>
      <c r="N991" s="1" t="s">
        <v>8748</v>
      </c>
    </row>
    <row r="992" spans="1:14" x14ac:dyDescent="0.35">
      <c r="A992" s="1" t="s">
        <v>4321</v>
      </c>
      <c r="B992" s="3" t="s">
        <v>2248</v>
      </c>
      <c r="C992" s="1" t="s">
        <v>2414</v>
      </c>
      <c r="D992" s="1" t="s">
        <v>8747</v>
      </c>
      <c r="E992" s="1" t="str">
        <f>"2360"</f>
        <v>2360</v>
      </c>
      <c r="F992" s="1" t="str">
        <f>"016629084"</f>
        <v>016629084</v>
      </c>
      <c r="G992" s="1" t="s">
        <v>14</v>
      </c>
      <c r="H992" s="1" t="s">
        <v>15</v>
      </c>
      <c r="I992" s="3" t="str">
        <f>"1"</f>
        <v>1</v>
      </c>
      <c r="J992" s="3" t="str">
        <f>"200000"</f>
        <v>200000</v>
      </c>
      <c r="K992" s="2">
        <v>45889</v>
      </c>
      <c r="L992" s="2">
        <v>45915</v>
      </c>
      <c r="M992" s="1" t="s">
        <v>7056</v>
      </c>
      <c r="N992" s="1" t="s">
        <v>8746</v>
      </c>
    </row>
    <row r="993" spans="1:14" x14ac:dyDescent="0.35">
      <c r="A993" s="1" t="s">
        <v>4321</v>
      </c>
      <c r="B993" s="3" t="s">
        <v>2248</v>
      </c>
      <c r="C993" s="1" t="s">
        <v>2414</v>
      </c>
      <c r="D993" s="1" t="s">
        <v>8745</v>
      </c>
      <c r="E993" s="1" t="str">
        <f>"2360"</f>
        <v>2360</v>
      </c>
      <c r="F993" s="1" t="str">
        <f>"016634386"</f>
        <v>016634386</v>
      </c>
      <c r="G993" s="1" t="s">
        <v>14</v>
      </c>
      <c r="H993" s="1" t="s">
        <v>15</v>
      </c>
      <c r="I993" s="3" t="str">
        <f>"1"</f>
        <v>1</v>
      </c>
      <c r="J993" s="3" t="str">
        <f>"150500"</f>
        <v>150500</v>
      </c>
      <c r="K993" s="2">
        <v>45887</v>
      </c>
      <c r="L993" s="2">
        <v>45915</v>
      </c>
      <c r="M993" s="1" t="s">
        <v>8744</v>
      </c>
      <c r="N993" s="1" t="s">
        <v>8743</v>
      </c>
    </row>
    <row r="994" spans="1:14" x14ac:dyDescent="0.35">
      <c r="A994" s="1" t="s">
        <v>4321</v>
      </c>
      <c r="B994" s="3" t="s">
        <v>3105</v>
      </c>
      <c r="C994" s="1" t="s">
        <v>3106</v>
      </c>
      <c r="D994" s="1" t="s">
        <v>8742</v>
      </c>
      <c r="E994" s="1" t="str">
        <f>"9905"</f>
        <v>9905</v>
      </c>
      <c r="F994" s="1" t="str">
        <f>"014800644"</f>
        <v>014800644</v>
      </c>
      <c r="G994" s="1" t="s">
        <v>8741</v>
      </c>
      <c r="H994" s="1" t="s">
        <v>15</v>
      </c>
      <c r="I994" s="3" t="str">
        <f>"6"</f>
        <v>6</v>
      </c>
      <c r="J994" s="3">
        <v>197.4</v>
      </c>
      <c r="K994" s="2">
        <v>45881</v>
      </c>
      <c r="L994" s="2">
        <v>45915</v>
      </c>
      <c r="M994" s="1" t="s">
        <v>8740</v>
      </c>
      <c r="N994" s="1" t="s">
        <v>8739</v>
      </c>
    </row>
    <row r="995" spans="1:14" x14ac:dyDescent="0.35">
      <c r="A995" s="1" t="s">
        <v>4321</v>
      </c>
      <c r="B995" s="3" t="s">
        <v>1699</v>
      </c>
      <c r="C995" s="1" t="s">
        <v>1791</v>
      </c>
      <c r="D995" s="1" t="s">
        <v>8738</v>
      </c>
      <c r="E995" s="1" t="str">
        <f>"4910"</f>
        <v>4910</v>
      </c>
      <c r="F995" s="1" t="s">
        <v>1645</v>
      </c>
      <c r="G995" s="1" t="s">
        <v>1646</v>
      </c>
      <c r="H995" s="1" t="s">
        <v>15</v>
      </c>
      <c r="I995" s="3" t="str">
        <f>"1"</f>
        <v>1</v>
      </c>
      <c r="J995" s="3" t="str">
        <f>"300"</f>
        <v>300</v>
      </c>
      <c r="K995" s="2">
        <v>45880</v>
      </c>
      <c r="L995" s="2">
        <v>45915</v>
      </c>
      <c r="M995" s="1" t="s">
        <v>8737</v>
      </c>
      <c r="N995" s="1" t="s">
        <v>8736</v>
      </c>
    </row>
    <row r="996" spans="1:14" x14ac:dyDescent="0.35">
      <c r="A996" s="1" t="s">
        <v>4321</v>
      </c>
      <c r="B996" s="3" t="s">
        <v>3105</v>
      </c>
      <c r="C996" s="1" t="s">
        <v>3106</v>
      </c>
      <c r="D996" s="1" t="s">
        <v>8735</v>
      </c>
      <c r="E996" s="1" t="str">
        <f>"2510"</f>
        <v>2510</v>
      </c>
      <c r="F996" s="1" t="str">
        <f>"014505479"</f>
        <v>014505479</v>
      </c>
      <c r="G996" s="1" t="s">
        <v>2612</v>
      </c>
      <c r="H996" s="1" t="s">
        <v>15</v>
      </c>
      <c r="I996" s="3" t="str">
        <f>"1"</f>
        <v>1</v>
      </c>
      <c r="J996" s="3">
        <v>245.74</v>
      </c>
      <c r="K996" s="2">
        <v>45878</v>
      </c>
      <c r="L996" s="2">
        <v>45915</v>
      </c>
      <c r="M996" s="1" t="s">
        <v>8734</v>
      </c>
      <c r="N996" s="1" t="s">
        <v>8733</v>
      </c>
    </row>
    <row r="997" spans="1:14" x14ac:dyDescent="0.35">
      <c r="A997" s="1" t="s">
        <v>4321</v>
      </c>
      <c r="B997" s="3" t="s">
        <v>2720</v>
      </c>
      <c r="C997" s="1" t="s">
        <v>2897</v>
      </c>
      <c r="D997" s="1" t="s">
        <v>8732</v>
      </c>
      <c r="E997" s="1" t="str">
        <f>"2320"</f>
        <v>2320</v>
      </c>
      <c r="F997" s="1" t="str">
        <f>"014474938"</f>
        <v>014474938</v>
      </c>
      <c r="G997" s="1" t="s">
        <v>117</v>
      </c>
      <c r="H997" s="1" t="s">
        <v>15</v>
      </c>
      <c r="I997" s="3" t="str">
        <f>"1"</f>
        <v>1</v>
      </c>
      <c r="J997" s="3" t="str">
        <f>"230363"</f>
        <v>230363</v>
      </c>
      <c r="K997" s="2">
        <v>45871</v>
      </c>
      <c r="L997" s="2">
        <v>45915</v>
      </c>
      <c r="M997" s="1" t="s">
        <v>8731</v>
      </c>
      <c r="N997" s="1" t="s">
        <v>8730</v>
      </c>
    </row>
    <row r="998" spans="1:14" x14ac:dyDescent="0.35">
      <c r="A998" s="1" t="s">
        <v>4321</v>
      </c>
      <c r="B998" s="3" t="s">
        <v>2494</v>
      </c>
      <c r="C998" s="1" t="s">
        <v>8729</v>
      </c>
      <c r="D998" s="1" t="s">
        <v>8728</v>
      </c>
      <c r="E998" s="1" t="str">
        <f>"2320"</f>
        <v>2320</v>
      </c>
      <c r="F998" s="1" t="str">
        <f>"004512184"</f>
        <v>004512184</v>
      </c>
      <c r="G998" s="1" t="s">
        <v>1448</v>
      </c>
      <c r="H998" s="1" t="s">
        <v>15</v>
      </c>
      <c r="I998" s="3" t="str">
        <f>"1"</f>
        <v>1</v>
      </c>
      <c r="J998" s="3" t="str">
        <f>"31626"</f>
        <v>31626</v>
      </c>
      <c r="K998" s="2">
        <v>45913</v>
      </c>
      <c r="L998" s="2">
        <v>45914</v>
      </c>
      <c r="M998" s="1" t="s">
        <v>8727</v>
      </c>
      <c r="N998" s="1" t="s">
        <v>4387</v>
      </c>
    </row>
    <row r="999" spans="1:14" x14ac:dyDescent="0.35">
      <c r="A999" s="1" t="s">
        <v>4321</v>
      </c>
      <c r="B999" s="3" t="s">
        <v>1445</v>
      </c>
      <c r="C999" s="1" t="s">
        <v>1459</v>
      </c>
      <c r="D999" s="1" t="s">
        <v>8726</v>
      </c>
      <c r="E999" s="1" t="str">
        <f>"5855"</f>
        <v>5855</v>
      </c>
      <c r="F999" s="1" t="s">
        <v>8725</v>
      </c>
      <c r="G999" s="1" t="s">
        <v>8724</v>
      </c>
      <c r="H999" s="1" t="s">
        <v>15</v>
      </c>
      <c r="I999" s="3" t="str">
        <f>"1"</f>
        <v>1</v>
      </c>
      <c r="J999" s="3" t="str">
        <f>"11000"</f>
        <v>11000</v>
      </c>
      <c r="K999" s="2">
        <v>45904</v>
      </c>
      <c r="L999" s="2">
        <v>45914</v>
      </c>
      <c r="M999" s="1" t="s">
        <v>8723</v>
      </c>
      <c r="N999" s="1" t="s">
        <v>4343</v>
      </c>
    </row>
    <row r="1000" spans="1:14" x14ac:dyDescent="0.35">
      <c r="A1000" s="1" t="s">
        <v>4321</v>
      </c>
      <c r="B1000" s="3" t="s">
        <v>1699</v>
      </c>
      <c r="C1000" s="1" t="s">
        <v>8722</v>
      </c>
      <c r="D1000" s="1" t="s">
        <v>8721</v>
      </c>
      <c r="E1000" s="1" t="str">
        <f>"2330"</f>
        <v>2330</v>
      </c>
      <c r="F1000" s="1" t="str">
        <f>"011087367"</f>
        <v>011087367</v>
      </c>
      <c r="G1000" s="1" t="s">
        <v>1698</v>
      </c>
      <c r="H1000" s="1" t="s">
        <v>15</v>
      </c>
      <c r="I1000" s="3" t="str">
        <f>"1"</f>
        <v>1</v>
      </c>
      <c r="J1000" s="3" t="str">
        <f>"22000"</f>
        <v>22000</v>
      </c>
      <c r="K1000" s="2">
        <v>45912</v>
      </c>
      <c r="L1000" s="2">
        <v>45913</v>
      </c>
      <c r="M1000" s="1" t="s">
        <v>8720</v>
      </c>
      <c r="N1000" s="1" t="s">
        <v>4343</v>
      </c>
    </row>
    <row r="1001" spans="1:14" x14ac:dyDescent="0.35">
      <c r="A1001" s="1" t="s">
        <v>4321</v>
      </c>
      <c r="B1001" s="3" t="s">
        <v>806</v>
      </c>
      <c r="C1001" s="1" t="s">
        <v>8719</v>
      </c>
      <c r="D1001" s="1" t="s">
        <v>8718</v>
      </c>
      <c r="E1001" s="1" t="str">
        <f>"5855"</f>
        <v>5855</v>
      </c>
      <c r="F1001" s="1" t="str">
        <f>"015330555"</f>
        <v>015330555</v>
      </c>
      <c r="G1001" s="1" t="s">
        <v>2656</v>
      </c>
      <c r="H1001" s="1" t="s">
        <v>15</v>
      </c>
      <c r="I1001" s="3" t="str">
        <f>"8"</f>
        <v>8</v>
      </c>
      <c r="J1001" s="3" t="str">
        <f>"1800"</f>
        <v>1800</v>
      </c>
      <c r="K1001" s="2">
        <v>45912</v>
      </c>
      <c r="L1001" s="2">
        <v>45913</v>
      </c>
      <c r="M1001" s="1" t="s">
        <v>8717</v>
      </c>
      <c r="N1001" s="1" t="s">
        <v>8716</v>
      </c>
    </row>
    <row r="1002" spans="1:14" x14ac:dyDescent="0.35">
      <c r="A1002" s="1" t="s">
        <v>4321</v>
      </c>
      <c r="B1002" s="3" t="s">
        <v>2494</v>
      </c>
      <c r="C1002" s="1" t="s">
        <v>8715</v>
      </c>
      <c r="D1002" s="1" t="s">
        <v>8714</v>
      </c>
      <c r="E1002" s="1" t="str">
        <f>"2310"</f>
        <v>2310</v>
      </c>
      <c r="F1002" s="1" t="s">
        <v>5555</v>
      </c>
      <c r="G1002" s="1" t="s">
        <v>5554</v>
      </c>
      <c r="H1002" s="1" t="s">
        <v>15</v>
      </c>
      <c r="I1002" s="3" t="str">
        <f>"1"</f>
        <v>1</v>
      </c>
      <c r="J1002" s="3" t="str">
        <f>"15000"</f>
        <v>15000</v>
      </c>
      <c r="K1002" s="2">
        <v>45912</v>
      </c>
      <c r="L1002" s="2">
        <v>45913</v>
      </c>
      <c r="M1002" s="1" t="s">
        <v>8713</v>
      </c>
      <c r="N1002" s="1" t="s">
        <v>4343</v>
      </c>
    </row>
    <row r="1003" spans="1:14" x14ac:dyDescent="0.35">
      <c r="A1003" s="1" t="s">
        <v>4321</v>
      </c>
      <c r="B1003" s="3" t="s">
        <v>2987</v>
      </c>
      <c r="C1003" s="1" t="s">
        <v>3005</v>
      </c>
      <c r="D1003" s="1" t="s">
        <v>8712</v>
      </c>
      <c r="E1003" s="1" t="str">
        <f>"8415"</f>
        <v>8415</v>
      </c>
      <c r="F1003" s="1" t="str">
        <f>"015386773"</f>
        <v>015386773</v>
      </c>
      <c r="G1003" s="1" t="s">
        <v>3020</v>
      </c>
      <c r="H1003" s="1" t="s">
        <v>15</v>
      </c>
      <c r="I1003" s="3" t="str">
        <f>"2"</f>
        <v>2</v>
      </c>
      <c r="J1003" s="3">
        <v>97.03</v>
      </c>
      <c r="K1003" s="2">
        <v>45912</v>
      </c>
      <c r="L1003" s="2">
        <v>45913</v>
      </c>
      <c r="M1003" s="1" t="s">
        <v>3021</v>
      </c>
      <c r="N1003" s="1" t="s">
        <v>8711</v>
      </c>
    </row>
    <row r="1004" spans="1:14" x14ac:dyDescent="0.35">
      <c r="A1004" s="1" t="s">
        <v>4321</v>
      </c>
      <c r="B1004" s="3" t="s">
        <v>2494</v>
      </c>
      <c r="C1004" s="1" t="s">
        <v>8710</v>
      </c>
      <c r="D1004" s="1" t="s">
        <v>8709</v>
      </c>
      <c r="E1004" s="1" t="str">
        <f>"2320"</f>
        <v>2320</v>
      </c>
      <c r="F1004" s="1" t="str">
        <f>"014476343"</f>
        <v>014476343</v>
      </c>
      <c r="G1004" s="1" t="s">
        <v>373</v>
      </c>
      <c r="H1004" s="1" t="s">
        <v>15</v>
      </c>
      <c r="I1004" s="3" t="str">
        <f>"1"</f>
        <v>1</v>
      </c>
      <c r="J1004" s="3" t="str">
        <f>"176428"</f>
        <v>176428</v>
      </c>
      <c r="K1004" s="2">
        <v>45912</v>
      </c>
      <c r="L1004" s="2">
        <v>45913</v>
      </c>
      <c r="M1004" s="1" t="s">
        <v>8708</v>
      </c>
      <c r="N1004" s="1" t="s">
        <v>4343</v>
      </c>
    </row>
    <row r="1005" spans="1:14" x14ac:dyDescent="0.35">
      <c r="A1005" s="1" t="s">
        <v>4321</v>
      </c>
      <c r="B1005" s="3" t="s">
        <v>1437</v>
      </c>
      <c r="C1005" s="1" t="s">
        <v>1438</v>
      </c>
      <c r="D1005" s="1" t="s">
        <v>8707</v>
      </c>
      <c r="E1005" s="1" t="str">
        <f>"4910"</f>
        <v>4910</v>
      </c>
      <c r="F1005" s="1" t="str">
        <f>"005437771"</f>
        <v>005437771</v>
      </c>
      <c r="G1005" s="1" t="s">
        <v>8706</v>
      </c>
      <c r="H1005" s="1" t="s">
        <v>15</v>
      </c>
      <c r="I1005" s="3" t="str">
        <f>"1"</f>
        <v>1</v>
      </c>
      <c r="J1005" s="3">
        <v>2886.48</v>
      </c>
      <c r="K1005" s="2">
        <v>45911</v>
      </c>
      <c r="L1005" s="2">
        <v>45913</v>
      </c>
      <c r="M1005" s="1" t="s">
        <v>8705</v>
      </c>
      <c r="N1005" s="1" t="s">
        <v>8704</v>
      </c>
    </row>
    <row r="1006" spans="1:14" x14ac:dyDescent="0.35">
      <c r="A1006" s="1" t="s">
        <v>4321</v>
      </c>
      <c r="B1006" s="3" t="s">
        <v>3105</v>
      </c>
      <c r="C1006" s="1" t="s">
        <v>8703</v>
      </c>
      <c r="D1006" s="1" t="s">
        <v>8702</v>
      </c>
      <c r="E1006" s="1" t="str">
        <f>"1240"</f>
        <v>1240</v>
      </c>
      <c r="F1006" s="1" t="s">
        <v>1461</v>
      </c>
      <c r="G1006" s="1" t="s">
        <v>1462</v>
      </c>
      <c r="H1006" s="1" t="s">
        <v>15</v>
      </c>
      <c r="I1006" s="3" t="str">
        <f>"11"</f>
        <v>11</v>
      </c>
      <c r="J1006" s="3">
        <v>295.12</v>
      </c>
      <c r="K1006" s="2">
        <v>45910</v>
      </c>
      <c r="L1006" s="2">
        <v>45913</v>
      </c>
      <c r="M1006" s="1" t="s">
        <v>8701</v>
      </c>
      <c r="N1006" s="1" t="s">
        <v>8700</v>
      </c>
    </row>
    <row r="1007" spans="1:14" x14ac:dyDescent="0.35">
      <c r="A1007" s="1" t="s">
        <v>4321</v>
      </c>
      <c r="B1007" s="3" t="s">
        <v>2000</v>
      </c>
      <c r="C1007" s="1" t="s">
        <v>2062</v>
      </c>
      <c r="D1007" s="1" t="s">
        <v>8699</v>
      </c>
      <c r="E1007" s="1" t="str">
        <f>"1550"</f>
        <v>1550</v>
      </c>
      <c r="F1007" s="1" t="str">
        <f>"015389256"</f>
        <v>015389256</v>
      </c>
      <c r="G1007" s="1" t="s">
        <v>2416</v>
      </c>
      <c r="H1007" s="1" t="s">
        <v>15</v>
      </c>
      <c r="I1007" s="3" t="str">
        <f>"1"</f>
        <v>1</v>
      </c>
      <c r="J1007" s="3" t="str">
        <f>"100000"</f>
        <v>100000</v>
      </c>
      <c r="K1007" s="2">
        <v>45910</v>
      </c>
      <c r="L1007" s="2">
        <v>45913</v>
      </c>
      <c r="M1007" s="1" t="s">
        <v>8698</v>
      </c>
      <c r="N1007" s="1" t="s">
        <v>8697</v>
      </c>
    </row>
    <row r="1008" spans="1:14" x14ac:dyDescent="0.35">
      <c r="A1008" s="1" t="s">
        <v>4321</v>
      </c>
      <c r="B1008" s="3" t="s">
        <v>2244</v>
      </c>
      <c r="C1008" s="1" t="s">
        <v>8534</v>
      </c>
      <c r="D1008" s="1" t="s">
        <v>8696</v>
      </c>
      <c r="E1008" s="1" t="str">
        <f>"1550"</f>
        <v>1550</v>
      </c>
      <c r="F1008" s="1" t="str">
        <f>"015389256"</f>
        <v>015389256</v>
      </c>
      <c r="G1008" s="1" t="s">
        <v>2416</v>
      </c>
      <c r="H1008" s="1" t="s">
        <v>15</v>
      </c>
      <c r="I1008" s="3" t="str">
        <f>"1"</f>
        <v>1</v>
      </c>
      <c r="J1008" s="3" t="str">
        <f>"100000"</f>
        <v>100000</v>
      </c>
      <c r="K1008" s="2">
        <v>45910</v>
      </c>
      <c r="L1008" s="2">
        <v>45913</v>
      </c>
      <c r="M1008" s="1" t="s">
        <v>8695</v>
      </c>
      <c r="N1008" s="1" t="s">
        <v>8694</v>
      </c>
    </row>
    <row r="1009" spans="1:14" x14ac:dyDescent="0.35">
      <c r="A1009" s="1" t="s">
        <v>4321</v>
      </c>
      <c r="B1009" s="3" t="s">
        <v>2000</v>
      </c>
      <c r="C1009" s="1" t="s">
        <v>2105</v>
      </c>
      <c r="D1009" s="1" t="s">
        <v>8693</v>
      </c>
      <c r="E1009" s="1" t="str">
        <f>"8470"</f>
        <v>8470</v>
      </c>
      <c r="F1009" s="1" t="str">
        <f>"016240374"</f>
        <v>016240374</v>
      </c>
      <c r="G1009" s="1" t="s">
        <v>8653</v>
      </c>
      <c r="H1009" s="1" t="s">
        <v>15</v>
      </c>
      <c r="I1009" s="3" t="str">
        <f>"10"</f>
        <v>10</v>
      </c>
      <c r="J1009" s="3">
        <v>47.7</v>
      </c>
      <c r="K1009" s="2">
        <v>45910</v>
      </c>
      <c r="L1009" s="2">
        <v>45913</v>
      </c>
      <c r="M1009" s="1" t="s">
        <v>8692</v>
      </c>
      <c r="N1009" s="1" t="s">
        <v>8691</v>
      </c>
    </row>
    <row r="1010" spans="1:14" x14ac:dyDescent="0.35">
      <c r="A1010" s="1" t="s">
        <v>4321</v>
      </c>
      <c r="B1010" s="3" t="s">
        <v>3183</v>
      </c>
      <c r="C1010" s="1" t="s">
        <v>3495</v>
      </c>
      <c r="D1010" s="1" t="s">
        <v>8690</v>
      </c>
      <c r="E1010" s="1" t="str">
        <f>"8470"</f>
        <v>8470</v>
      </c>
      <c r="F1010" s="1" t="str">
        <f>"016240374"</f>
        <v>016240374</v>
      </c>
      <c r="G1010" s="1" t="s">
        <v>8653</v>
      </c>
      <c r="H1010" s="1" t="s">
        <v>15</v>
      </c>
      <c r="I1010" s="3" t="str">
        <f>"25"</f>
        <v>25</v>
      </c>
      <c r="J1010" s="3">
        <v>47.7</v>
      </c>
      <c r="K1010" s="2">
        <v>45910</v>
      </c>
      <c r="L1010" s="2">
        <v>45913</v>
      </c>
      <c r="M1010" s="1" t="s">
        <v>8689</v>
      </c>
      <c r="N1010" s="1" t="s">
        <v>8688</v>
      </c>
    </row>
    <row r="1011" spans="1:14" x14ac:dyDescent="0.35">
      <c r="A1011" s="1" t="s">
        <v>4321</v>
      </c>
      <c r="B1011" s="3" t="s">
        <v>1944</v>
      </c>
      <c r="C1011" s="1" t="s">
        <v>8687</v>
      </c>
      <c r="D1011" s="1" t="s">
        <v>8686</v>
      </c>
      <c r="E1011" s="1" t="str">
        <f>"8415"</f>
        <v>8415</v>
      </c>
      <c r="F1011" s="1" t="str">
        <f>"015551447"</f>
        <v>015551447</v>
      </c>
      <c r="G1011" s="1" t="s">
        <v>8685</v>
      </c>
      <c r="H1011" s="1" t="s">
        <v>15</v>
      </c>
      <c r="I1011" s="3" t="str">
        <f>"2"</f>
        <v>2</v>
      </c>
      <c r="J1011" s="3">
        <v>119.02</v>
      </c>
      <c r="K1011" s="2">
        <v>45909</v>
      </c>
      <c r="L1011" s="2">
        <v>45913</v>
      </c>
      <c r="M1011" s="1" t="s">
        <v>8684</v>
      </c>
      <c r="N1011" s="1" t="s">
        <v>8683</v>
      </c>
    </row>
    <row r="1012" spans="1:14" x14ac:dyDescent="0.35">
      <c r="A1012" s="1" t="s">
        <v>4321</v>
      </c>
      <c r="B1012" s="3" t="s">
        <v>2720</v>
      </c>
      <c r="C1012" s="1" t="s">
        <v>2876</v>
      </c>
      <c r="D1012" s="1" t="s">
        <v>8682</v>
      </c>
      <c r="E1012" s="1" t="str">
        <f>"6115"</f>
        <v>6115</v>
      </c>
      <c r="F1012" s="1" t="str">
        <f>"015472420"</f>
        <v>015472420</v>
      </c>
      <c r="G1012" s="1" t="s">
        <v>2850</v>
      </c>
      <c r="H1012" s="1" t="s">
        <v>15</v>
      </c>
      <c r="I1012" s="3" t="str">
        <f>"1"</f>
        <v>1</v>
      </c>
      <c r="J1012" s="3">
        <v>2822.64</v>
      </c>
      <c r="K1012" s="2">
        <v>45909</v>
      </c>
      <c r="L1012" s="2">
        <v>45913</v>
      </c>
      <c r="M1012" s="1" t="s">
        <v>8681</v>
      </c>
      <c r="N1012" s="1" t="s">
        <v>8680</v>
      </c>
    </row>
    <row r="1013" spans="1:14" x14ac:dyDescent="0.35">
      <c r="A1013" s="1" t="s">
        <v>4321</v>
      </c>
      <c r="B1013" s="3" t="s">
        <v>3183</v>
      </c>
      <c r="C1013" s="1" t="s">
        <v>8336</v>
      </c>
      <c r="D1013" s="1" t="s">
        <v>8679</v>
      </c>
      <c r="E1013" s="1" t="str">
        <f>"2340"</f>
        <v>2340</v>
      </c>
      <c r="F1013" s="1" t="s">
        <v>278</v>
      </c>
      <c r="G1013" s="1" t="s">
        <v>279</v>
      </c>
      <c r="H1013" s="1" t="s">
        <v>15</v>
      </c>
      <c r="I1013" s="3" t="str">
        <f>"1"</f>
        <v>1</v>
      </c>
      <c r="J1013" s="3">
        <v>13213.65</v>
      </c>
      <c r="K1013" s="2">
        <v>45908</v>
      </c>
      <c r="L1013" s="2">
        <v>45913</v>
      </c>
      <c r="M1013" s="1" t="s">
        <v>8678</v>
      </c>
      <c r="N1013" s="1" t="s">
        <v>8677</v>
      </c>
    </row>
    <row r="1014" spans="1:14" x14ac:dyDescent="0.35">
      <c r="A1014" s="1" t="s">
        <v>4321</v>
      </c>
      <c r="B1014" s="3" t="s">
        <v>3885</v>
      </c>
      <c r="C1014" s="1" t="s">
        <v>3891</v>
      </c>
      <c r="D1014" s="1" t="s">
        <v>8676</v>
      </c>
      <c r="E1014" s="1" t="str">
        <f>"2340"</f>
        <v>2340</v>
      </c>
      <c r="F1014" s="1" t="s">
        <v>278</v>
      </c>
      <c r="G1014" s="1" t="s">
        <v>279</v>
      </c>
      <c r="H1014" s="1" t="s">
        <v>15</v>
      </c>
      <c r="I1014" s="3" t="str">
        <f>"1"</f>
        <v>1</v>
      </c>
      <c r="J1014" s="3">
        <v>13213.65</v>
      </c>
      <c r="K1014" s="2">
        <v>45908</v>
      </c>
      <c r="L1014" s="2">
        <v>45913</v>
      </c>
      <c r="M1014" s="1" t="s">
        <v>8675</v>
      </c>
      <c r="N1014" s="1" t="s">
        <v>8674</v>
      </c>
    </row>
    <row r="1015" spans="1:14" x14ac:dyDescent="0.35">
      <c r="A1015" s="1" t="s">
        <v>4321</v>
      </c>
      <c r="B1015" s="3" t="s">
        <v>806</v>
      </c>
      <c r="C1015" s="1" t="s">
        <v>866</v>
      </c>
      <c r="D1015" s="1" t="s">
        <v>8673</v>
      </c>
      <c r="E1015" s="1" t="str">
        <f>"6230"</f>
        <v>6230</v>
      </c>
      <c r="F1015" s="1" t="s">
        <v>178</v>
      </c>
      <c r="G1015" s="1" t="s">
        <v>179</v>
      </c>
      <c r="H1015" s="1" t="s">
        <v>15</v>
      </c>
      <c r="I1015" s="3" t="str">
        <f>"3"</f>
        <v>3</v>
      </c>
      <c r="J1015" s="3">
        <v>144.26</v>
      </c>
      <c r="K1015" s="2">
        <v>45908</v>
      </c>
      <c r="L1015" s="2">
        <v>45913</v>
      </c>
      <c r="M1015" s="1" t="s">
        <v>8672</v>
      </c>
      <c r="N1015" s="1" t="s">
        <v>4343</v>
      </c>
    </row>
    <row r="1016" spans="1:14" x14ac:dyDescent="0.35">
      <c r="A1016" s="1" t="s">
        <v>4321</v>
      </c>
      <c r="B1016" s="3" t="s">
        <v>2720</v>
      </c>
      <c r="C1016" s="1" t="s">
        <v>2757</v>
      </c>
      <c r="D1016" s="1" t="s">
        <v>8671</v>
      </c>
      <c r="E1016" s="1" t="str">
        <f>"8145"</f>
        <v>8145</v>
      </c>
      <c r="F1016" s="1" t="s">
        <v>747</v>
      </c>
      <c r="G1016" s="1" t="s">
        <v>748</v>
      </c>
      <c r="H1016" s="1" t="s">
        <v>15</v>
      </c>
      <c r="I1016" s="3" t="str">
        <f>"1"</f>
        <v>1</v>
      </c>
      <c r="J1016" s="3" t="str">
        <f>"325"</f>
        <v>325</v>
      </c>
      <c r="K1016" s="2">
        <v>45908</v>
      </c>
      <c r="L1016" s="2">
        <v>45913</v>
      </c>
      <c r="M1016" s="1" t="s">
        <v>8670</v>
      </c>
      <c r="N1016" s="1" t="s">
        <v>8669</v>
      </c>
    </row>
    <row r="1017" spans="1:14" x14ac:dyDescent="0.35">
      <c r="A1017" s="1" t="s">
        <v>4321</v>
      </c>
      <c r="B1017" s="3" t="s">
        <v>3183</v>
      </c>
      <c r="C1017" s="1" t="s">
        <v>3241</v>
      </c>
      <c r="D1017" s="1" t="s">
        <v>8668</v>
      </c>
      <c r="E1017" s="1" t="str">
        <f>"2320"</f>
        <v>2320</v>
      </c>
      <c r="F1017" s="1" t="str">
        <f>"006112429"</f>
        <v>006112429</v>
      </c>
      <c r="G1017" s="1" t="s">
        <v>1820</v>
      </c>
      <c r="H1017" s="1" t="s">
        <v>15</v>
      </c>
      <c r="I1017" s="3" t="str">
        <f>"1"</f>
        <v>1</v>
      </c>
      <c r="J1017" s="3" t="str">
        <f>"31570"</f>
        <v>31570</v>
      </c>
      <c r="K1017" s="2">
        <v>45908</v>
      </c>
      <c r="L1017" s="2">
        <v>45913</v>
      </c>
      <c r="M1017" s="1" t="s">
        <v>8667</v>
      </c>
      <c r="N1017" s="1" t="s">
        <v>8666</v>
      </c>
    </row>
    <row r="1018" spans="1:14" x14ac:dyDescent="0.35">
      <c r="A1018" s="1" t="s">
        <v>4321</v>
      </c>
      <c r="B1018" s="3" t="s">
        <v>3183</v>
      </c>
      <c r="C1018" s="1" t="s">
        <v>3435</v>
      </c>
      <c r="D1018" s="1" t="s">
        <v>8665</v>
      </c>
      <c r="E1018" s="1" t="str">
        <f>"2320"</f>
        <v>2320</v>
      </c>
      <c r="F1018" s="1" t="str">
        <f>"011644815"</f>
        <v>011644815</v>
      </c>
      <c r="G1018" s="1" t="s">
        <v>373</v>
      </c>
      <c r="H1018" s="1" t="s">
        <v>15</v>
      </c>
      <c r="I1018" s="3" t="str">
        <f>"1"</f>
        <v>1</v>
      </c>
      <c r="J1018" s="3" t="str">
        <f>"5000"</f>
        <v>5000</v>
      </c>
      <c r="K1018" s="2">
        <v>45908</v>
      </c>
      <c r="L1018" s="2">
        <v>45913</v>
      </c>
      <c r="M1018" s="1" t="s">
        <v>8664</v>
      </c>
      <c r="N1018" s="1" t="s">
        <v>8663</v>
      </c>
    </row>
    <row r="1019" spans="1:14" x14ac:dyDescent="0.35">
      <c r="A1019" s="1" t="s">
        <v>4321</v>
      </c>
      <c r="B1019" s="3" t="s">
        <v>3183</v>
      </c>
      <c r="C1019" s="1" t="s">
        <v>3435</v>
      </c>
      <c r="D1019" s="1" t="s">
        <v>8662</v>
      </c>
      <c r="E1019" s="1" t="str">
        <f>"2320"</f>
        <v>2320</v>
      </c>
      <c r="F1019" s="1" t="str">
        <f>"010539398"</f>
        <v>010539398</v>
      </c>
      <c r="G1019" s="1" t="s">
        <v>1448</v>
      </c>
      <c r="H1019" s="1" t="s">
        <v>15</v>
      </c>
      <c r="I1019" s="3" t="str">
        <f>"1"</f>
        <v>1</v>
      </c>
      <c r="J1019" s="3" t="str">
        <f>"29693"</f>
        <v>29693</v>
      </c>
      <c r="K1019" s="2">
        <v>45908</v>
      </c>
      <c r="L1019" s="2">
        <v>45913</v>
      </c>
      <c r="M1019" s="1" t="s">
        <v>8661</v>
      </c>
      <c r="N1019" s="1" t="s">
        <v>8660</v>
      </c>
    </row>
    <row r="1020" spans="1:14" x14ac:dyDescent="0.35">
      <c r="A1020" s="1" t="s">
        <v>4321</v>
      </c>
      <c r="B1020" s="3" t="s">
        <v>1699</v>
      </c>
      <c r="C1020" s="1" t="s">
        <v>8314</v>
      </c>
      <c r="D1020" s="1" t="s">
        <v>8659</v>
      </c>
      <c r="E1020" s="1" t="str">
        <f>"2320"</f>
        <v>2320</v>
      </c>
      <c r="F1020" s="1" t="str">
        <f>"010539398"</f>
        <v>010539398</v>
      </c>
      <c r="G1020" s="1" t="s">
        <v>1448</v>
      </c>
      <c r="H1020" s="1" t="s">
        <v>15</v>
      </c>
      <c r="I1020" s="3" t="str">
        <f>"1"</f>
        <v>1</v>
      </c>
      <c r="J1020" s="3" t="str">
        <f>"29693"</f>
        <v>29693</v>
      </c>
      <c r="K1020" s="2">
        <v>45908</v>
      </c>
      <c r="L1020" s="2">
        <v>45913</v>
      </c>
      <c r="M1020" s="1" t="s">
        <v>8658</v>
      </c>
      <c r="N1020" s="1" t="s">
        <v>8657</v>
      </c>
    </row>
    <row r="1021" spans="1:14" x14ac:dyDescent="0.35">
      <c r="A1021" s="1" t="s">
        <v>4321</v>
      </c>
      <c r="B1021" s="3" t="s">
        <v>806</v>
      </c>
      <c r="C1021" s="1" t="s">
        <v>866</v>
      </c>
      <c r="D1021" s="1" t="s">
        <v>8656</v>
      </c>
      <c r="E1021" s="1" t="str">
        <f>"8470"</f>
        <v>8470</v>
      </c>
      <c r="F1021" s="1" t="str">
        <f>"016240374"</f>
        <v>016240374</v>
      </c>
      <c r="G1021" s="1" t="s">
        <v>8653</v>
      </c>
      <c r="H1021" s="1" t="s">
        <v>15</v>
      </c>
      <c r="I1021" s="3" t="str">
        <f>"40"</f>
        <v>40</v>
      </c>
      <c r="J1021" s="3">
        <v>47.7</v>
      </c>
      <c r="K1021" s="2">
        <v>45907</v>
      </c>
      <c r="L1021" s="2">
        <v>45913</v>
      </c>
      <c r="M1021" s="1" t="s">
        <v>8655</v>
      </c>
      <c r="N1021" s="1" t="s">
        <v>4343</v>
      </c>
    </row>
    <row r="1022" spans="1:14" x14ac:dyDescent="0.35">
      <c r="A1022" s="1" t="s">
        <v>4321</v>
      </c>
      <c r="B1022" s="3" t="s">
        <v>2000</v>
      </c>
      <c r="C1022" s="1" t="s">
        <v>2051</v>
      </c>
      <c r="D1022" s="1" t="s">
        <v>8654</v>
      </c>
      <c r="E1022" s="1" t="str">
        <f>"8470"</f>
        <v>8470</v>
      </c>
      <c r="F1022" s="1" t="str">
        <f>"016240374"</f>
        <v>016240374</v>
      </c>
      <c r="G1022" s="1" t="s">
        <v>8653</v>
      </c>
      <c r="H1022" s="1" t="s">
        <v>15</v>
      </c>
      <c r="I1022" s="3" t="str">
        <f>"25"</f>
        <v>25</v>
      </c>
      <c r="J1022" s="3">
        <v>47.7</v>
      </c>
      <c r="K1022" s="2">
        <v>45907</v>
      </c>
      <c r="L1022" s="2">
        <v>45913</v>
      </c>
      <c r="M1022" s="1" t="s">
        <v>8652</v>
      </c>
      <c r="N1022" s="1" t="s">
        <v>8651</v>
      </c>
    </row>
    <row r="1023" spans="1:14" x14ac:dyDescent="0.35">
      <c r="A1023" s="1" t="s">
        <v>4321</v>
      </c>
      <c r="B1023" s="3" t="s">
        <v>3183</v>
      </c>
      <c r="C1023" s="1" t="s">
        <v>3184</v>
      </c>
      <c r="D1023" s="1" t="s">
        <v>8650</v>
      </c>
      <c r="E1023" s="1" t="str">
        <f>"2320"</f>
        <v>2320</v>
      </c>
      <c r="F1023" s="1" t="s">
        <v>274</v>
      </c>
      <c r="G1023" s="1" t="s">
        <v>275</v>
      </c>
      <c r="H1023" s="1" t="s">
        <v>15</v>
      </c>
      <c r="I1023" s="3" t="str">
        <f>"1"</f>
        <v>1</v>
      </c>
      <c r="J1023" s="3" t="str">
        <f>"40000"</f>
        <v>40000</v>
      </c>
      <c r="K1023" s="2">
        <v>45906</v>
      </c>
      <c r="L1023" s="2">
        <v>45913</v>
      </c>
      <c r="M1023" s="1" t="s">
        <v>8649</v>
      </c>
      <c r="N1023" s="1" t="s">
        <v>8648</v>
      </c>
    </row>
    <row r="1024" spans="1:14" x14ac:dyDescent="0.35">
      <c r="A1024" s="1" t="s">
        <v>4321</v>
      </c>
      <c r="B1024" s="3" t="s">
        <v>3183</v>
      </c>
      <c r="C1024" s="1" t="s">
        <v>3184</v>
      </c>
      <c r="D1024" s="1" t="s">
        <v>8647</v>
      </c>
      <c r="E1024" s="1" t="str">
        <f>"2320"</f>
        <v>2320</v>
      </c>
      <c r="F1024" s="1" t="s">
        <v>321</v>
      </c>
      <c r="G1024" s="1" t="s">
        <v>322</v>
      </c>
      <c r="H1024" s="1" t="s">
        <v>15</v>
      </c>
      <c r="I1024" s="3" t="str">
        <f>"1"</f>
        <v>1</v>
      </c>
      <c r="J1024" s="3" t="str">
        <f>"81925"</f>
        <v>81925</v>
      </c>
      <c r="K1024" s="2">
        <v>45906</v>
      </c>
      <c r="L1024" s="2">
        <v>45913</v>
      </c>
      <c r="M1024" s="1" t="s">
        <v>8646</v>
      </c>
      <c r="N1024" s="1" t="s">
        <v>8645</v>
      </c>
    </row>
    <row r="1025" spans="1:14" x14ac:dyDescent="0.35">
      <c r="A1025" s="1" t="s">
        <v>4321</v>
      </c>
      <c r="B1025" s="3" t="s">
        <v>4253</v>
      </c>
      <c r="C1025" s="1" t="s">
        <v>4268</v>
      </c>
      <c r="D1025" s="1" t="s">
        <v>8644</v>
      </c>
      <c r="E1025" s="1" t="str">
        <f>"1550"</f>
        <v>1550</v>
      </c>
      <c r="F1025" s="1" t="str">
        <f>"015389256"</f>
        <v>015389256</v>
      </c>
      <c r="G1025" s="1" t="s">
        <v>2416</v>
      </c>
      <c r="H1025" s="1" t="s">
        <v>15</v>
      </c>
      <c r="I1025" s="3" t="str">
        <f>"1"</f>
        <v>1</v>
      </c>
      <c r="J1025" s="3" t="str">
        <f>"100000"</f>
        <v>100000</v>
      </c>
      <c r="K1025" s="2">
        <v>45906</v>
      </c>
      <c r="L1025" s="2">
        <v>45913</v>
      </c>
      <c r="M1025" s="1" t="s">
        <v>8643</v>
      </c>
      <c r="N1025" s="1" t="s">
        <v>8642</v>
      </c>
    </row>
    <row r="1026" spans="1:14" x14ac:dyDescent="0.35">
      <c r="A1026" s="1" t="s">
        <v>4321</v>
      </c>
      <c r="B1026" s="3" t="s">
        <v>3885</v>
      </c>
      <c r="C1026" s="1" t="s">
        <v>3895</v>
      </c>
      <c r="D1026" s="1" t="s">
        <v>8641</v>
      </c>
      <c r="E1026" s="1" t="str">
        <f>"2320"</f>
        <v>2320</v>
      </c>
      <c r="F1026" s="1" t="s">
        <v>274</v>
      </c>
      <c r="G1026" s="1" t="s">
        <v>275</v>
      </c>
      <c r="H1026" s="1" t="s">
        <v>15</v>
      </c>
      <c r="I1026" s="3" t="str">
        <f>"1"</f>
        <v>1</v>
      </c>
      <c r="J1026" s="3" t="str">
        <f>"40000"</f>
        <v>40000</v>
      </c>
      <c r="K1026" s="2">
        <v>45906</v>
      </c>
      <c r="L1026" s="2">
        <v>45913</v>
      </c>
      <c r="M1026" s="1" t="s">
        <v>8640</v>
      </c>
      <c r="N1026" s="1" t="s">
        <v>8639</v>
      </c>
    </row>
    <row r="1027" spans="1:14" x14ac:dyDescent="0.35">
      <c r="A1027" s="1" t="s">
        <v>4321</v>
      </c>
      <c r="B1027" s="3" t="s">
        <v>3885</v>
      </c>
      <c r="C1027" s="1" t="s">
        <v>3895</v>
      </c>
      <c r="D1027" s="1" t="s">
        <v>8638</v>
      </c>
      <c r="E1027" s="1" t="str">
        <f>"2320"</f>
        <v>2320</v>
      </c>
      <c r="F1027" s="1" t="str">
        <f>"010539398"</f>
        <v>010539398</v>
      </c>
      <c r="G1027" s="1" t="s">
        <v>1448</v>
      </c>
      <c r="H1027" s="1" t="s">
        <v>15</v>
      </c>
      <c r="I1027" s="3" t="str">
        <f>"1"</f>
        <v>1</v>
      </c>
      <c r="J1027" s="3" t="str">
        <f>"29693"</f>
        <v>29693</v>
      </c>
      <c r="K1027" s="2">
        <v>45906</v>
      </c>
      <c r="L1027" s="2">
        <v>45913</v>
      </c>
      <c r="M1027" s="1" t="s">
        <v>8637</v>
      </c>
      <c r="N1027" s="1" t="s">
        <v>8636</v>
      </c>
    </row>
    <row r="1028" spans="1:14" x14ac:dyDescent="0.35">
      <c r="A1028" s="1" t="s">
        <v>4321</v>
      </c>
      <c r="B1028" s="3" t="s">
        <v>4087</v>
      </c>
      <c r="C1028" s="1" t="s">
        <v>4143</v>
      </c>
      <c r="D1028" s="1" t="s">
        <v>8635</v>
      </c>
      <c r="E1028" s="1" t="str">
        <f>"5180"</f>
        <v>5180</v>
      </c>
      <c r="F1028" s="1" t="str">
        <f>"015487634"</f>
        <v>015487634</v>
      </c>
      <c r="G1028" s="1" t="s">
        <v>222</v>
      </c>
      <c r="H1028" s="1" t="s">
        <v>58</v>
      </c>
      <c r="I1028" s="3" t="str">
        <f>"1"</f>
        <v>1</v>
      </c>
      <c r="J1028" s="3" t="str">
        <f>"2065"</f>
        <v>2065</v>
      </c>
      <c r="K1028" s="2">
        <v>45906</v>
      </c>
      <c r="L1028" s="2">
        <v>45913</v>
      </c>
      <c r="M1028" s="1" t="s">
        <v>8634</v>
      </c>
      <c r="N1028" s="1" t="s">
        <v>8633</v>
      </c>
    </row>
    <row r="1029" spans="1:14" x14ac:dyDescent="0.35">
      <c r="A1029" s="1" t="s">
        <v>4321</v>
      </c>
      <c r="B1029" s="3" t="s">
        <v>3885</v>
      </c>
      <c r="C1029" s="1" t="s">
        <v>4022</v>
      </c>
      <c r="D1029" s="1" t="s">
        <v>8632</v>
      </c>
      <c r="E1029" s="1" t="str">
        <f>"2320"</f>
        <v>2320</v>
      </c>
      <c r="F1029" s="1" t="s">
        <v>274</v>
      </c>
      <c r="G1029" s="1" t="s">
        <v>275</v>
      </c>
      <c r="H1029" s="1" t="s">
        <v>15</v>
      </c>
      <c r="I1029" s="3" t="str">
        <f>"1"</f>
        <v>1</v>
      </c>
      <c r="J1029" s="3" t="str">
        <f>"40000"</f>
        <v>40000</v>
      </c>
      <c r="K1029" s="2">
        <v>45906</v>
      </c>
      <c r="L1029" s="2">
        <v>45913</v>
      </c>
      <c r="M1029" s="1" t="s">
        <v>8631</v>
      </c>
      <c r="N1029" s="1" t="s">
        <v>8630</v>
      </c>
    </row>
    <row r="1030" spans="1:14" x14ac:dyDescent="0.35">
      <c r="A1030" s="1" t="s">
        <v>4321</v>
      </c>
      <c r="B1030" s="3" t="s">
        <v>3885</v>
      </c>
      <c r="C1030" s="1" t="s">
        <v>4022</v>
      </c>
      <c r="D1030" s="1" t="s">
        <v>8629</v>
      </c>
      <c r="E1030" s="1" t="str">
        <f>"2320"</f>
        <v>2320</v>
      </c>
      <c r="F1030" s="1" t="s">
        <v>321</v>
      </c>
      <c r="G1030" s="1" t="s">
        <v>322</v>
      </c>
      <c r="H1030" s="1" t="s">
        <v>15</v>
      </c>
      <c r="I1030" s="3" t="str">
        <f>"1"</f>
        <v>1</v>
      </c>
      <c r="J1030" s="3" t="str">
        <f>"81925"</f>
        <v>81925</v>
      </c>
      <c r="K1030" s="2">
        <v>45906</v>
      </c>
      <c r="L1030" s="2">
        <v>45913</v>
      </c>
      <c r="M1030" s="1" t="s">
        <v>8628</v>
      </c>
      <c r="N1030" s="1" t="s">
        <v>8627</v>
      </c>
    </row>
    <row r="1031" spans="1:14" x14ac:dyDescent="0.35">
      <c r="A1031" s="1" t="s">
        <v>4321</v>
      </c>
      <c r="B1031" s="3" t="s">
        <v>1317</v>
      </c>
      <c r="C1031" s="1" t="s">
        <v>1318</v>
      </c>
      <c r="D1031" s="1" t="s">
        <v>8626</v>
      </c>
      <c r="E1031" s="1" t="str">
        <f>"2610"</f>
        <v>2610</v>
      </c>
      <c r="F1031" s="1" t="s">
        <v>1325</v>
      </c>
      <c r="G1031" s="1" t="s">
        <v>1326</v>
      </c>
      <c r="H1031" s="1" t="s">
        <v>15</v>
      </c>
      <c r="I1031" s="3" t="str">
        <f>"2"</f>
        <v>2</v>
      </c>
      <c r="J1031" s="3" t="str">
        <f>"160"</f>
        <v>160</v>
      </c>
      <c r="K1031" s="2">
        <v>45905</v>
      </c>
      <c r="L1031" s="2">
        <v>45913</v>
      </c>
      <c r="M1031" s="1" t="s">
        <v>1327</v>
      </c>
      <c r="N1031" s="1" t="s">
        <v>8625</v>
      </c>
    </row>
    <row r="1032" spans="1:14" x14ac:dyDescent="0.35">
      <c r="A1032" s="1" t="s">
        <v>4321</v>
      </c>
      <c r="B1032" s="3" t="s">
        <v>3885</v>
      </c>
      <c r="C1032" s="1" t="s">
        <v>3895</v>
      </c>
      <c r="D1032" s="1" t="s">
        <v>8624</v>
      </c>
      <c r="E1032" s="1" t="str">
        <f>"2320"</f>
        <v>2320</v>
      </c>
      <c r="F1032" s="1" t="s">
        <v>321</v>
      </c>
      <c r="G1032" s="1" t="s">
        <v>322</v>
      </c>
      <c r="H1032" s="1" t="s">
        <v>15</v>
      </c>
      <c r="I1032" s="3" t="str">
        <f>"1"</f>
        <v>1</v>
      </c>
      <c r="J1032" s="3" t="str">
        <f>"81925"</f>
        <v>81925</v>
      </c>
      <c r="K1032" s="2">
        <v>45905</v>
      </c>
      <c r="L1032" s="2">
        <v>45913</v>
      </c>
      <c r="M1032" s="1" t="s">
        <v>8623</v>
      </c>
      <c r="N1032" s="1" t="s">
        <v>8622</v>
      </c>
    </row>
    <row r="1033" spans="1:14" x14ac:dyDescent="0.35">
      <c r="A1033" s="1" t="s">
        <v>4321</v>
      </c>
      <c r="B1033" s="3" t="s">
        <v>1445</v>
      </c>
      <c r="C1033" s="1" t="s">
        <v>1459</v>
      </c>
      <c r="D1033" s="1" t="s">
        <v>8621</v>
      </c>
      <c r="E1033" s="1" t="str">
        <f>"4240"</f>
        <v>4240</v>
      </c>
      <c r="F1033" s="1" t="str">
        <f>"016875341"</f>
        <v>016875341</v>
      </c>
      <c r="G1033" s="1" t="s">
        <v>8283</v>
      </c>
      <c r="H1033" s="1" t="s">
        <v>15</v>
      </c>
      <c r="I1033" s="3" t="str">
        <f>"1"</f>
        <v>1</v>
      </c>
      <c r="J1033" s="3" t="str">
        <f>"140"</f>
        <v>140</v>
      </c>
      <c r="K1033" s="2">
        <v>45904</v>
      </c>
      <c r="L1033" s="2">
        <v>45913</v>
      </c>
      <c r="M1033" s="1" t="s">
        <v>8282</v>
      </c>
      <c r="N1033" s="1" t="s">
        <v>4343</v>
      </c>
    </row>
    <row r="1034" spans="1:14" x14ac:dyDescent="0.35">
      <c r="A1034" s="1" t="s">
        <v>4321</v>
      </c>
      <c r="B1034" s="3" t="s">
        <v>2145</v>
      </c>
      <c r="C1034" s="1" t="s">
        <v>2153</v>
      </c>
      <c r="D1034" s="1" t="s">
        <v>8620</v>
      </c>
      <c r="E1034" s="1" t="str">
        <f>"5855"</f>
        <v>5855</v>
      </c>
      <c r="F1034" s="1" t="str">
        <f>"015847217"</f>
        <v>015847217</v>
      </c>
      <c r="G1034" s="1" t="s">
        <v>1942</v>
      </c>
      <c r="H1034" s="1" t="s">
        <v>15</v>
      </c>
      <c r="I1034" s="3" t="str">
        <f>"25"</f>
        <v>25</v>
      </c>
      <c r="J1034" s="3" t="str">
        <f>"35674"</f>
        <v>35674</v>
      </c>
      <c r="K1034" s="2">
        <v>45904</v>
      </c>
      <c r="L1034" s="2">
        <v>45913</v>
      </c>
      <c r="M1034" s="1" t="s">
        <v>8619</v>
      </c>
      <c r="N1034" s="1" t="s">
        <v>8618</v>
      </c>
    </row>
    <row r="1035" spans="1:14" x14ac:dyDescent="0.35">
      <c r="A1035" s="1" t="s">
        <v>4321</v>
      </c>
      <c r="B1035" s="3" t="s">
        <v>2720</v>
      </c>
      <c r="C1035" s="1" t="s">
        <v>2842</v>
      </c>
      <c r="D1035" s="1" t="s">
        <v>8617</v>
      </c>
      <c r="E1035" s="1" t="str">
        <f>"6115"</f>
        <v>6115</v>
      </c>
      <c r="F1035" s="1" t="s">
        <v>174</v>
      </c>
      <c r="G1035" s="1" t="s">
        <v>175</v>
      </c>
      <c r="H1035" s="1" t="s">
        <v>15</v>
      </c>
      <c r="I1035" s="3" t="str">
        <f>"1"</f>
        <v>1</v>
      </c>
      <c r="J1035" s="3">
        <v>11353.15</v>
      </c>
      <c r="K1035" s="2">
        <v>45904</v>
      </c>
      <c r="L1035" s="2">
        <v>45913</v>
      </c>
      <c r="M1035" s="1" t="s">
        <v>2848</v>
      </c>
      <c r="N1035" s="1" t="s">
        <v>8616</v>
      </c>
    </row>
    <row r="1036" spans="1:14" x14ac:dyDescent="0.35">
      <c r="A1036" s="1" t="s">
        <v>4321</v>
      </c>
      <c r="B1036" s="3" t="s">
        <v>4253</v>
      </c>
      <c r="C1036" s="1" t="s">
        <v>4271</v>
      </c>
      <c r="D1036" s="1" t="s">
        <v>8615</v>
      </c>
      <c r="E1036" s="1" t="str">
        <f>"5855"</f>
        <v>5855</v>
      </c>
      <c r="F1036" s="1" t="str">
        <f>"015847217"</f>
        <v>015847217</v>
      </c>
      <c r="G1036" s="1" t="s">
        <v>1942</v>
      </c>
      <c r="H1036" s="1" t="s">
        <v>15</v>
      </c>
      <c r="I1036" s="3" t="str">
        <f>"20"</f>
        <v>20</v>
      </c>
      <c r="J1036" s="3" t="str">
        <f>"35674"</f>
        <v>35674</v>
      </c>
      <c r="K1036" s="2">
        <v>45903</v>
      </c>
      <c r="L1036" s="2">
        <v>45913</v>
      </c>
      <c r="M1036" s="1" t="s">
        <v>8614</v>
      </c>
      <c r="N1036" s="1" t="s">
        <v>8613</v>
      </c>
    </row>
    <row r="1037" spans="1:14" x14ac:dyDescent="0.35">
      <c r="A1037" s="1" t="s">
        <v>4321</v>
      </c>
      <c r="B1037" s="3" t="s">
        <v>2720</v>
      </c>
      <c r="C1037" s="1" t="s">
        <v>2745</v>
      </c>
      <c r="D1037" s="1" t="s">
        <v>8612</v>
      </c>
      <c r="E1037" s="1" t="str">
        <f>"5855"</f>
        <v>5855</v>
      </c>
      <c r="F1037" s="1" t="str">
        <f>"015847217"</f>
        <v>015847217</v>
      </c>
      <c r="G1037" s="1" t="s">
        <v>1942</v>
      </c>
      <c r="H1037" s="1" t="s">
        <v>15</v>
      </c>
      <c r="I1037" s="3" t="str">
        <f>"25"</f>
        <v>25</v>
      </c>
      <c r="J1037" s="3" t="str">
        <f>"35674"</f>
        <v>35674</v>
      </c>
      <c r="K1037" s="2">
        <v>45903</v>
      </c>
      <c r="L1037" s="2">
        <v>45913</v>
      </c>
      <c r="M1037" s="1" t="s">
        <v>8171</v>
      </c>
      <c r="N1037" s="1" t="s">
        <v>8611</v>
      </c>
    </row>
    <row r="1038" spans="1:14" x14ac:dyDescent="0.35">
      <c r="A1038" s="1" t="s">
        <v>4321</v>
      </c>
      <c r="B1038" s="3" t="s">
        <v>2494</v>
      </c>
      <c r="C1038" s="1" t="s">
        <v>2521</v>
      </c>
      <c r="D1038" s="1" t="s">
        <v>8610</v>
      </c>
      <c r="E1038" s="1" t="str">
        <f>"7025"</f>
        <v>7025</v>
      </c>
      <c r="F1038" s="1" t="s">
        <v>3286</v>
      </c>
      <c r="G1038" s="1" t="s">
        <v>3287</v>
      </c>
      <c r="H1038" s="1" t="s">
        <v>15</v>
      </c>
      <c r="I1038" s="3" t="str">
        <f>"6"</f>
        <v>6</v>
      </c>
      <c r="J1038" s="3" t="str">
        <f>"200"</f>
        <v>200</v>
      </c>
      <c r="K1038" s="2">
        <v>45903</v>
      </c>
      <c r="L1038" s="2">
        <v>45913</v>
      </c>
      <c r="M1038" s="1" t="s">
        <v>8609</v>
      </c>
      <c r="N1038" s="1" t="s">
        <v>8608</v>
      </c>
    </row>
    <row r="1039" spans="1:14" x14ac:dyDescent="0.35">
      <c r="A1039" s="1" t="s">
        <v>4321</v>
      </c>
      <c r="B1039" s="3" t="s">
        <v>2638</v>
      </c>
      <c r="C1039" s="1" t="s">
        <v>2666</v>
      </c>
      <c r="D1039" s="1" t="s">
        <v>8607</v>
      </c>
      <c r="E1039" s="1" t="str">
        <f>"7025"</f>
        <v>7025</v>
      </c>
      <c r="F1039" s="1" t="s">
        <v>3286</v>
      </c>
      <c r="G1039" s="1" t="s">
        <v>3287</v>
      </c>
      <c r="H1039" s="1" t="s">
        <v>15</v>
      </c>
      <c r="I1039" s="3" t="str">
        <f>"10"</f>
        <v>10</v>
      </c>
      <c r="J1039" s="3" t="str">
        <f>"200"</f>
        <v>200</v>
      </c>
      <c r="K1039" s="2">
        <v>45903</v>
      </c>
      <c r="L1039" s="2">
        <v>45913</v>
      </c>
      <c r="M1039" s="1" t="s">
        <v>8606</v>
      </c>
      <c r="N1039" s="1" t="s">
        <v>8605</v>
      </c>
    </row>
    <row r="1040" spans="1:14" x14ac:dyDescent="0.35">
      <c r="A1040" s="1" t="s">
        <v>4321</v>
      </c>
      <c r="B1040" s="3" t="s">
        <v>2494</v>
      </c>
      <c r="C1040" s="1" t="s">
        <v>2570</v>
      </c>
      <c r="D1040" s="1" t="s">
        <v>8604</v>
      </c>
      <c r="E1040" s="1" t="str">
        <f>"7025"</f>
        <v>7025</v>
      </c>
      <c r="F1040" s="1" t="s">
        <v>3286</v>
      </c>
      <c r="G1040" s="1" t="s">
        <v>3287</v>
      </c>
      <c r="H1040" s="1" t="s">
        <v>15</v>
      </c>
      <c r="I1040" s="3" t="str">
        <f>"10"</f>
        <v>10</v>
      </c>
      <c r="J1040" s="3" t="str">
        <f>"200"</f>
        <v>200</v>
      </c>
      <c r="K1040" s="2">
        <v>45903</v>
      </c>
      <c r="L1040" s="2">
        <v>45913</v>
      </c>
      <c r="M1040" s="1" t="s">
        <v>8603</v>
      </c>
      <c r="N1040" s="1" t="s">
        <v>8602</v>
      </c>
    </row>
    <row r="1041" spans="1:14" x14ac:dyDescent="0.35">
      <c r="A1041" s="1" t="s">
        <v>4321</v>
      </c>
      <c r="B1041" s="3" t="s">
        <v>2494</v>
      </c>
      <c r="C1041" s="1" t="s">
        <v>2584</v>
      </c>
      <c r="D1041" s="1" t="s">
        <v>8601</v>
      </c>
      <c r="E1041" s="1" t="str">
        <f>"7025"</f>
        <v>7025</v>
      </c>
      <c r="F1041" s="1" t="s">
        <v>3286</v>
      </c>
      <c r="G1041" s="1" t="s">
        <v>3287</v>
      </c>
      <c r="H1041" s="1" t="s">
        <v>15</v>
      </c>
      <c r="I1041" s="3" t="str">
        <f>"12"</f>
        <v>12</v>
      </c>
      <c r="J1041" s="3" t="str">
        <f>"200"</f>
        <v>200</v>
      </c>
      <c r="K1041" s="2">
        <v>45903</v>
      </c>
      <c r="L1041" s="2">
        <v>45913</v>
      </c>
      <c r="M1041" s="1" t="s">
        <v>8600</v>
      </c>
      <c r="N1041" s="1" t="s">
        <v>8599</v>
      </c>
    </row>
    <row r="1042" spans="1:14" x14ac:dyDescent="0.35">
      <c r="A1042" s="1" t="s">
        <v>4321</v>
      </c>
      <c r="B1042" s="3" t="s">
        <v>2494</v>
      </c>
      <c r="C1042" s="1" t="s">
        <v>2594</v>
      </c>
      <c r="D1042" s="1" t="s">
        <v>8598</v>
      </c>
      <c r="E1042" s="1" t="str">
        <f>"7025"</f>
        <v>7025</v>
      </c>
      <c r="F1042" s="1" t="s">
        <v>3286</v>
      </c>
      <c r="G1042" s="1" t="s">
        <v>3287</v>
      </c>
      <c r="H1042" s="1" t="s">
        <v>15</v>
      </c>
      <c r="I1042" s="3" t="str">
        <f>"12"</f>
        <v>12</v>
      </c>
      <c r="J1042" s="3" t="str">
        <f>"200"</f>
        <v>200</v>
      </c>
      <c r="K1042" s="2">
        <v>45903</v>
      </c>
      <c r="L1042" s="2">
        <v>45913</v>
      </c>
      <c r="M1042" s="1" t="s">
        <v>8597</v>
      </c>
      <c r="N1042" s="1" t="s">
        <v>8596</v>
      </c>
    </row>
    <row r="1043" spans="1:14" x14ac:dyDescent="0.35">
      <c r="A1043" s="1" t="s">
        <v>4321</v>
      </c>
      <c r="B1043" s="3" t="s">
        <v>3183</v>
      </c>
      <c r="C1043" s="1" t="s">
        <v>3184</v>
      </c>
      <c r="D1043" s="1" t="s">
        <v>8595</v>
      </c>
      <c r="E1043" s="1" t="str">
        <f>"5855"</f>
        <v>5855</v>
      </c>
      <c r="F1043" s="1" t="str">
        <f>"015847217"</f>
        <v>015847217</v>
      </c>
      <c r="G1043" s="1" t="s">
        <v>1942</v>
      </c>
      <c r="H1043" s="1" t="s">
        <v>15</v>
      </c>
      <c r="I1043" s="3" t="str">
        <f>"80"</f>
        <v>80</v>
      </c>
      <c r="J1043" s="3" t="str">
        <f>"35674"</f>
        <v>35674</v>
      </c>
      <c r="K1043" s="2">
        <v>45902</v>
      </c>
      <c r="L1043" s="2">
        <v>45913</v>
      </c>
      <c r="M1043" s="1" t="s">
        <v>8594</v>
      </c>
      <c r="N1043" s="1" t="s">
        <v>8593</v>
      </c>
    </row>
    <row r="1044" spans="1:14" x14ac:dyDescent="0.35">
      <c r="A1044" s="1" t="s">
        <v>4321</v>
      </c>
      <c r="B1044" s="3" t="s">
        <v>2114</v>
      </c>
      <c r="C1044" s="1" t="s">
        <v>2115</v>
      </c>
      <c r="D1044" s="1" t="s">
        <v>8592</v>
      </c>
      <c r="E1044" s="1" t="str">
        <f>"5855"</f>
        <v>5855</v>
      </c>
      <c r="F1044" s="1" t="str">
        <f>"015847217"</f>
        <v>015847217</v>
      </c>
      <c r="G1044" s="1" t="s">
        <v>1942</v>
      </c>
      <c r="H1044" s="1" t="s">
        <v>15</v>
      </c>
      <c r="I1044" s="3" t="str">
        <f>"12"</f>
        <v>12</v>
      </c>
      <c r="J1044" s="3" t="str">
        <f>"35674"</f>
        <v>35674</v>
      </c>
      <c r="K1044" s="2">
        <v>45902</v>
      </c>
      <c r="L1044" s="2">
        <v>45913</v>
      </c>
      <c r="M1044" s="1" t="s">
        <v>8591</v>
      </c>
      <c r="N1044" s="1" t="s">
        <v>8590</v>
      </c>
    </row>
    <row r="1045" spans="1:14" x14ac:dyDescent="0.35">
      <c r="A1045" s="1" t="s">
        <v>4321</v>
      </c>
      <c r="B1045" s="3" t="s">
        <v>2248</v>
      </c>
      <c r="C1045" s="1" t="s">
        <v>2265</v>
      </c>
      <c r="D1045" s="1" t="s">
        <v>8589</v>
      </c>
      <c r="E1045" s="1" t="str">
        <f>"5855"</f>
        <v>5855</v>
      </c>
      <c r="F1045" s="1" t="str">
        <f>"015847217"</f>
        <v>015847217</v>
      </c>
      <c r="G1045" s="1" t="s">
        <v>1942</v>
      </c>
      <c r="H1045" s="1" t="s">
        <v>15</v>
      </c>
      <c r="I1045" s="3" t="str">
        <f>"19"</f>
        <v>19</v>
      </c>
      <c r="J1045" s="3" t="str">
        <f>"35674"</f>
        <v>35674</v>
      </c>
      <c r="K1045" s="2">
        <v>45902</v>
      </c>
      <c r="L1045" s="2">
        <v>45913</v>
      </c>
      <c r="M1045" s="1" t="s">
        <v>2269</v>
      </c>
      <c r="N1045" s="1" t="s">
        <v>8588</v>
      </c>
    </row>
    <row r="1046" spans="1:14" x14ac:dyDescent="0.35">
      <c r="A1046" s="1" t="s">
        <v>4321</v>
      </c>
      <c r="B1046" s="3" t="s">
        <v>1857</v>
      </c>
      <c r="C1046" s="1" t="s">
        <v>1897</v>
      </c>
      <c r="D1046" s="1" t="s">
        <v>8587</v>
      </c>
      <c r="E1046" s="1" t="str">
        <f>"4240"</f>
        <v>4240</v>
      </c>
      <c r="F1046" s="1" t="str">
        <f>"015475933"</f>
        <v>015475933</v>
      </c>
      <c r="G1046" s="1" t="s">
        <v>1851</v>
      </c>
      <c r="H1046" s="1" t="s">
        <v>15</v>
      </c>
      <c r="I1046" s="3" t="str">
        <f>"35"</f>
        <v>35</v>
      </c>
      <c r="J1046" s="3">
        <v>81.09</v>
      </c>
      <c r="K1046" s="2">
        <v>45902</v>
      </c>
      <c r="L1046" s="2">
        <v>45913</v>
      </c>
      <c r="M1046" s="1" t="s">
        <v>8582</v>
      </c>
      <c r="N1046" s="1" t="s">
        <v>8586</v>
      </c>
    </row>
    <row r="1047" spans="1:14" x14ac:dyDescent="0.35">
      <c r="A1047" s="1" t="s">
        <v>4321</v>
      </c>
      <c r="B1047" s="3" t="s">
        <v>1857</v>
      </c>
      <c r="C1047" s="1" t="s">
        <v>1897</v>
      </c>
      <c r="D1047" s="1" t="s">
        <v>8585</v>
      </c>
      <c r="E1047" s="1" t="str">
        <f>"5855"</f>
        <v>5855</v>
      </c>
      <c r="F1047" s="1" t="str">
        <f>"015847217"</f>
        <v>015847217</v>
      </c>
      <c r="G1047" s="1" t="s">
        <v>1942</v>
      </c>
      <c r="H1047" s="1" t="s">
        <v>15</v>
      </c>
      <c r="I1047" s="3" t="str">
        <f>"150"</f>
        <v>150</v>
      </c>
      <c r="J1047" s="3" t="str">
        <f>"35674"</f>
        <v>35674</v>
      </c>
      <c r="K1047" s="2">
        <v>45902</v>
      </c>
      <c r="L1047" s="2">
        <v>45913</v>
      </c>
      <c r="M1047" s="1" t="s">
        <v>8582</v>
      </c>
      <c r="N1047" s="1" t="s">
        <v>8584</v>
      </c>
    </row>
    <row r="1048" spans="1:14" x14ac:dyDescent="0.35">
      <c r="A1048" s="1" t="s">
        <v>4321</v>
      </c>
      <c r="B1048" s="3" t="s">
        <v>1857</v>
      </c>
      <c r="C1048" s="1" t="s">
        <v>1897</v>
      </c>
      <c r="D1048" s="1" t="s">
        <v>8583</v>
      </c>
      <c r="E1048" s="1" t="str">
        <f>"6920"</f>
        <v>6920</v>
      </c>
      <c r="F1048" s="1" t="s">
        <v>2759</v>
      </c>
      <c r="G1048" s="1" t="s">
        <v>2760</v>
      </c>
      <c r="H1048" s="1" t="s">
        <v>15</v>
      </c>
      <c r="I1048" s="3" t="str">
        <f>"20"</f>
        <v>20</v>
      </c>
      <c r="J1048" s="3" t="str">
        <f>"50"</f>
        <v>50</v>
      </c>
      <c r="K1048" s="2">
        <v>45902</v>
      </c>
      <c r="L1048" s="2">
        <v>45913</v>
      </c>
      <c r="M1048" s="1" t="s">
        <v>8582</v>
      </c>
      <c r="N1048" s="1" t="s">
        <v>8581</v>
      </c>
    </row>
    <row r="1049" spans="1:14" x14ac:dyDescent="0.35">
      <c r="A1049" s="1" t="s">
        <v>4321</v>
      </c>
      <c r="B1049" s="3" t="s">
        <v>2494</v>
      </c>
      <c r="C1049" s="1" t="s">
        <v>2514</v>
      </c>
      <c r="D1049" s="1" t="s">
        <v>8580</v>
      </c>
      <c r="E1049" s="1" t="str">
        <f>"7025"</f>
        <v>7025</v>
      </c>
      <c r="F1049" s="1" t="s">
        <v>3286</v>
      </c>
      <c r="G1049" s="1" t="s">
        <v>3287</v>
      </c>
      <c r="H1049" s="1" t="s">
        <v>15</v>
      </c>
      <c r="I1049" s="3" t="str">
        <f>"10"</f>
        <v>10</v>
      </c>
      <c r="J1049" s="3" t="str">
        <f>"200"</f>
        <v>200</v>
      </c>
      <c r="K1049" s="2">
        <v>45902</v>
      </c>
      <c r="L1049" s="2">
        <v>45913</v>
      </c>
      <c r="M1049" s="1" t="s">
        <v>8579</v>
      </c>
      <c r="N1049" s="1" t="s">
        <v>8578</v>
      </c>
    </row>
    <row r="1050" spans="1:14" x14ac:dyDescent="0.35">
      <c r="A1050" s="1" t="s">
        <v>4321</v>
      </c>
      <c r="B1050" s="3" t="s">
        <v>3105</v>
      </c>
      <c r="C1050" s="1" t="s">
        <v>3129</v>
      </c>
      <c r="D1050" s="1" t="s">
        <v>8577</v>
      </c>
      <c r="E1050" s="1" t="str">
        <f>"2340"</f>
        <v>2340</v>
      </c>
      <c r="F1050" s="1" t="str">
        <f>"010919004"</f>
        <v>010919004</v>
      </c>
      <c r="G1050" s="1" t="s">
        <v>3159</v>
      </c>
      <c r="H1050" s="1" t="s">
        <v>15</v>
      </c>
      <c r="I1050" s="3" t="str">
        <f>"1"</f>
        <v>1</v>
      </c>
      <c r="J1050" s="3" t="str">
        <f>"2072"</f>
        <v>2072</v>
      </c>
      <c r="K1050" s="2">
        <v>45902</v>
      </c>
      <c r="L1050" s="2">
        <v>45913</v>
      </c>
      <c r="M1050" s="1" t="s">
        <v>8576</v>
      </c>
      <c r="N1050" s="1" t="s">
        <v>4343</v>
      </c>
    </row>
    <row r="1051" spans="1:14" x14ac:dyDescent="0.35">
      <c r="A1051" s="1" t="s">
        <v>4321</v>
      </c>
      <c r="B1051" s="3" t="s">
        <v>2494</v>
      </c>
      <c r="C1051" s="1" t="s">
        <v>2521</v>
      </c>
      <c r="D1051" s="1" t="s">
        <v>8575</v>
      </c>
      <c r="E1051" s="1" t="str">
        <f>"6230"</f>
        <v>6230</v>
      </c>
      <c r="F1051" s="1" t="str">
        <f>"015894822"</f>
        <v>015894822</v>
      </c>
      <c r="G1051" s="1" t="s">
        <v>310</v>
      </c>
      <c r="H1051" s="1" t="s">
        <v>15</v>
      </c>
      <c r="I1051" s="3" t="str">
        <f>"10"</f>
        <v>10</v>
      </c>
      <c r="J1051" s="3">
        <v>889.39</v>
      </c>
      <c r="K1051" s="2">
        <v>45901</v>
      </c>
      <c r="L1051" s="2">
        <v>45913</v>
      </c>
      <c r="M1051" s="1" t="s">
        <v>2543</v>
      </c>
      <c r="N1051" s="1" t="s">
        <v>8574</v>
      </c>
    </row>
    <row r="1052" spans="1:14" x14ac:dyDescent="0.35">
      <c r="A1052" s="1" t="s">
        <v>4321</v>
      </c>
      <c r="B1052" s="3" t="s">
        <v>3885</v>
      </c>
      <c r="C1052" s="1" t="s">
        <v>3891</v>
      </c>
      <c r="D1052" s="1" t="s">
        <v>8573</v>
      </c>
      <c r="E1052" s="1" t="str">
        <f>"2320"</f>
        <v>2320</v>
      </c>
      <c r="F1052" s="1" t="s">
        <v>274</v>
      </c>
      <c r="G1052" s="1" t="s">
        <v>275</v>
      </c>
      <c r="H1052" s="1" t="s">
        <v>15</v>
      </c>
      <c r="I1052" s="3" t="str">
        <f>"1"</f>
        <v>1</v>
      </c>
      <c r="J1052" s="3">
        <v>27124.560000000001</v>
      </c>
      <c r="K1052" s="2">
        <v>45900</v>
      </c>
      <c r="L1052" s="2">
        <v>45913</v>
      </c>
      <c r="M1052" s="1" t="s">
        <v>8572</v>
      </c>
      <c r="N1052" s="1" t="s">
        <v>8571</v>
      </c>
    </row>
    <row r="1053" spans="1:14" x14ac:dyDescent="0.35">
      <c r="A1053" s="1" t="s">
        <v>4321</v>
      </c>
      <c r="B1053" s="3" t="s">
        <v>2494</v>
      </c>
      <c r="C1053" s="1" t="s">
        <v>2521</v>
      </c>
      <c r="D1053" s="1" t="s">
        <v>8570</v>
      </c>
      <c r="E1053" s="1" t="str">
        <f>"4240"</f>
        <v>4240</v>
      </c>
      <c r="F1053" s="1" t="str">
        <f>"012488551"</f>
        <v>012488551</v>
      </c>
      <c r="G1053" s="1" t="s">
        <v>8569</v>
      </c>
      <c r="H1053" s="1" t="s">
        <v>15</v>
      </c>
      <c r="I1053" s="3" t="str">
        <f>"1"</f>
        <v>1</v>
      </c>
      <c r="J1053" s="3" t="str">
        <f>"13493"</f>
        <v>13493</v>
      </c>
      <c r="K1053" s="2">
        <v>45900</v>
      </c>
      <c r="L1053" s="2">
        <v>45913</v>
      </c>
      <c r="M1053" s="1" t="s">
        <v>8568</v>
      </c>
      <c r="N1053" s="1" t="s">
        <v>8567</v>
      </c>
    </row>
    <row r="1054" spans="1:14" x14ac:dyDescent="0.35">
      <c r="A1054" s="1" t="s">
        <v>4321</v>
      </c>
      <c r="B1054" s="3" t="s">
        <v>3183</v>
      </c>
      <c r="C1054" s="1" t="s">
        <v>3487</v>
      </c>
      <c r="D1054" s="1" t="s">
        <v>8566</v>
      </c>
      <c r="E1054" s="1" t="str">
        <f>"2320"</f>
        <v>2320</v>
      </c>
      <c r="F1054" s="1" t="s">
        <v>274</v>
      </c>
      <c r="G1054" s="1" t="s">
        <v>275</v>
      </c>
      <c r="H1054" s="1" t="s">
        <v>15</v>
      </c>
      <c r="I1054" s="3" t="str">
        <f>"1"</f>
        <v>1</v>
      </c>
      <c r="J1054" s="3" t="str">
        <f>"24563"</f>
        <v>24563</v>
      </c>
      <c r="K1054" s="2">
        <v>45900</v>
      </c>
      <c r="L1054" s="2">
        <v>45913</v>
      </c>
      <c r="M1054" s="1" t="s">
        <v>8565</v>
      </c>
      <c r="N1054" s="1" t="s">
        <v>8564</v>
      </c>
    </row>
    <row r="1055" spans="1:14" x14ac:dyDescent="0.35">
      <c r="A1055" s="1" t="s">
        <v>4321</v>
      </c>
      <c r="B1055" s="3" t="s">
        <v>806</v>
      </c>
      <c r="C1055" s="1" t="s">
        <v>866</v>
      </c>
      <c r="D1055" s="1" t="s">
        <v>8563</v>
      </c>
      <c r="E1055" s="1" t="str">
        <f>"6230"</f>
        <v>6230</v>
      </c>
      <c r="F1055" s="1" t="str">
        <f>"015894822"</f>
        <v>015894822</v>
      </c>
      <c r="G1055" s="1" t="s">
        <v>310</v>
      </c>
      <c r="H1055" s="1" t="s">
        <v>15</v>
      </c>
      <c r="I1055" s="3" t="str">
        <f>"10"</f>
        <v>10</v>
      </c>
      <c r="J1055" s="3">
        <v>889.39</v>
      </c>
      <c r="K1055" s="2">
        <v>45899</v>
      </c>
      <c r="L1055" s="2">
        <v>45913</v>
      </c>
      <c r="M1055" s="1" t="s">
        <v>7936</v>
      </c>
      <c r="N1055" s="1" t="s">
        <v>8562</v>
      </c>
    </row>
    <row r="1056" spans="1:14" x14ac:dyDescent="0.35">
      <c r="A1056" s="1" t="s">
        <v>4321</v>
      </c>
      <c r="B1056" s="3" t="s">
        <v>806</v>
      </c>
      <c r="C1056" s="1" t="s">
        <v>866</v>
      </c>
      <c r="D1056" s="1" t="s">
        <v>8561</v>
      </c>
      <c r="E1056" s="1" t="str">
        <f>"6230"</f>
        <v>6230</v>
      </c>
      <c r="F1056" s="1" t="str">
        <f>"015894822"</f>
        <v>015894822</v>
      </c>
      <c r="G1056" s="1" t="s">
        <v>310</v>
      </c>
      <c r="H1056" s="1" t="s">
        <v>15</v>
      </c>
      <c r="I1056" s="3" t="str">
        <f>"15"</f>
        <v>15</v>
      </c>
      <c r="J1056" s="3">
        <v>889.39</v>
      </c>
      <c r="K1056" s="2">
        <v>45899</v>
      </c>
      <c r="L1056" s="2">
        <v>45913</v>
      </c>
      <c r="M1056" s="1" t="s">
        <v>7936</v>
      </c>
      <c r="N1056" s="1" t="s">
        <v>8560</v>
      </c>
    </row>
    <row r="1057" spans="1:14" x14ac:dyDescent="0.35">
      <c r="A1057" s="1" t="s">
        <v>4321</v>
      </c>
      <c r="B1057" s="3" t="s">
        <v>2248</v>
      </c>
      <c r="C1057" s="1" t="s">
        <v>2375</v>
      </c>
      <c r="D1057" s="1" t="s">
        <v>8559</v>
      </c>
      <c r="E1057" s="1" t="str">
        <f>"2320"</f>
        <v>2320</v>
      </c>
      <c r="F1057" s="1" t="s">
        <v>274</v>
      </c>
      <c r="G1057" s="1" t="s">
        <v>275</v>
      </c>
      <c r="H1057" s="1" t="s">
        <v>15</v>
      </c>
      <c r="I1057" s="3" t="str">
        <f>"1"</f>
        <v>1</v>
      </c>
      <c r="J1057" s="3">
        <v>27124.560000000001</v>
      </c>
      <c r="K1057" s="2">
        <v>45899</v>
      </c>
      <c r="L1057" s="2">
        <v>45913</v>
      </c>
      <c r="M1057" s="1" t="s">
        <v>8558</v>
      </c>
      <c r="N1057" s="1" t="s">
        <v>8557</v>
      </c>
    </row>
    <row r="1058" spans="1:14" x14ac:dyDescent="0.35">
      <c r="A1058" s="1" t="s">
        <v>4321</v>
      </c>
      <c r="B1058" s="3" t="s">
        <v>2494</v>
      </c>
      <c r="C1058" s="1" t="s">
        <v>2600</v>
      </c>
      <c r="D1058" s="1" t="s">
        <v>8556</v>
      </c>
      <c r="E1058" s="1" t="str">
        <f>"2320"</f>
        <v>2320</v>
      </c>
      <c r="F1058" s="1" t="s">
        <v>274</v>
      </c>
      <c r="G1058" s="1" t="s">
        <v>275</v>
      </c>
      <c r="H1058" s="1" t="s">
        <v>15</v>
      </c>
      <c r="I1058" s="3" t="str">
        <f>"1"</f>
        <v>1</v>
      </c>
      <c r="J1058" s="3">
        <v>27565.93</v>
      </c>
      <c r="K1058" s="2">
        <v>45899</v>
      </c>
      <c r="L1058" s="2">
        <v>45913</v>
      </c>
      <c r="M1058" s="1" t="s">
        <v>8551</v>
      </c>
      <c r="N1058" s="1" t="s">
        <v>8555</v>
      </c>
    </row>
    <row r="1059" spans="1:14" x14ac:dyDescent="0.35">
      <c r="A1059" s="1" t="s">
        <v>4321</v>
      </c>
      <c r="B1059" s="3" t="s">
        <v>2494</v>
      </c>
      <c r="C1059" s="1" t="s">
        <v>2600</v>
      </c>
      <c r="D1059" s="1" t="s">
        <v>8554</v>
      </c>
      <c r="E1059" s="1" t="str">
        <f>"2320"</f>
        <v>2320</v>
      </c>
      <c r="F1059" s="1" t="s">
        <v>274</v>
      </c>
      <c r="G1059" s="1" t="s">
        <v>275</v>
      </c>
      <c r="H1059" s="1" t="s">
        <v>15</v>
      </c>
      <c r="I1059" s="3" t="str">
        <f>"1"</f>
        <v>1</v>
      </c>
      <c r="J1059" s="3">
        <v>27124.560000000001</v>
      </c>
      <c r="K1059" s="2">
        <v>45899</v>
      </c>
      <c r="L1059" s="2">
        <v>45913</v>
      </c>
      <c r="M1059" s="1" t="s">
        <v>8551</v>
      </c>
      <c r="N1059" s="1" t="s">
        <v>8553</v>
      </c>
    </row>
    <row r="1060" spans="1:14" x14ac:dyDescent="0.35">
      <c r="A1060" s="1" t="s">
        <v>4321</v>
      </c>
      <c r="B1060" s="3" t="s">
        <v>2494</v>
      </c>
      <c r="C1060" s="1" t="s">
        <v>2600</v>
      </c>
      <c r="D1060" s="1" t="s">
        <v>8552</v>
      </c>
      <c r="E1060" s="1" t="str">
        <f>"2320"</f>
        <v>2320</v>
      </c>
      <c r="F1060" s="1" t="s">
        <v>274</v>
      </c>
      <c r="G1060" s="1" t="s">
        <v>275</v>
      </c>
      <c r="H1060" s="1" t="s">
        <v>15</v>
      </c>
      <c r="I1060" s="3" t="str">
        <f>"1"</f>
        <v>1</v>
      </c>
      <c r="J1060" s="3" t="str">
        <f>"24563"</f>
        <v>24563</v>
      </c>
      <c r="K1060" s="2">
        <v>45899</v>
      </c>
      <c r="L1060" s="2">
        <v>45913</v>
      </c>
      <c r="M1060" s="1" t="s">
        <v>8551</v>
      </c>
      <c r="N1060" s="1" t="s">
        <v>8550</v>
      </c>
    </row>
    <row r="1061" spans="1:14" x14ac:dyDescent="0.35">
      <c r="A1061" s="1" t="s">
        <v>4321</v>
      </c>
      <c r="B1061" s="3" t="s">
        <v>2494</v>
      </c>
      <c r="C1061" s="1" t="s">
        <v>2600</v>
      </c>
      <c r="D1061" s="1" t="s">
        <v>8549</v>
      </c>
      <c r="E1061" s="1" t="str">
        <f>"6545"</f>
        <v>6545</v>
      </c>
      <c r="F1061" s="1" t="str">
        <f>"015300929"</f>
        <v>015300929</v>
      </c>
      <c r="G1061" s="1" t="s">
        <v>293</v>
      </c>
      <c r="H1061" s="1" t="s">
        <v>19</v>
      </c>
      <c r="I1061" s="3" t="str">
        <f>"15"</f>
        <v>15</v>
      </c>
      <c r="J1061" s="3">
        <v>62.81</v>
      </c>
      <c r="K1061" s="2">
        <v>45899</v>
      </c>
      <c r="L1061" s="2">
        <v>45913</v>
      </c>
      <c r="M1061" s="1" t="s">
        <v>8548</v>
      </c>
      <c r="N1061" s="1" t="s">
        <v>8547</v>
      </c>
    </row>
    <row r="1062" spans="1:14" x14ac:dyDescent="0.35">
      <c r="A1062" s="1" t="s">
        <v>4321</v>
      </c>
      <c r="B1062" s="3" t="s">
        <v>2000</v>
      </c>
      <c r="C1062" s="1" t="s">
        <v>5076</v>
      </c>
      <c r="D1062" s="1" t="s">
        <v>8546</v>
      </c>
      <c r="E1062" s="1" t="str">
        <f>"1240"</f>
        <v>1240</v>
      </c>
      <c r="F1062" s="1" t="str">
        <f>"015766134"</f>
        <v>015766134</v>
      </c>
      <c r="G1062" s="1" t="s">
        <v>269</v>
      </c>
      <c r="H1062" s="1" t="s">
        <v>15</v>
      </c>
      <c r="I1062" s="3" t="str">
        <f>"26"</f>
        <v>26</v>
      </c>
      <c r="J1062" s="3" t="str">
        <f>"483"</f>
        <v>483</v>
      </c>
      <c r="K1062" s="2">
        <v>45889</v>
      </c>
      <c r="L1062" s="2">
        <v>45913</v>
      </c>
      <c r="M1062" s="1" t="s">
        <v>8545</v>
      </c>
      <c r="N1062" s="1" t="s">
        <v>8544</v>
      </c>
    </row>
    <row r="1063" spans="1:14" x14ac:dyDescent="0.35">
      <c r="A1063" s="1" t="s">
        <v>4321</v>
      </c>
      <c r="B1063" s="3" t="s">
        <v>2114</v>
      </c>
      <c r="C1063" s="1" t="s">
        <v>4603</v>
      </c>
      <c r="D1063" s="1" t="s">
        <v>8543</v>
      </c>
      <c r="E1063" s="1" t="str">
        <f>"1240"</f>
        <v>1240</v>
      </c>
      <c r="F1063" s="1" t="str">
        <f>"015766134"</f>
        <v>015766134</v>
      </c>
      <c r="G1063" s="1" t="s">
        <v>269</v>
      </c>
      <c r="H1063" s="1" t="s">
        <v>15</v>
      </c>
      <c r="I1063" s="3" t="str">
        <f>"5"</f>
        <v>5</v>
      </c>
      <c r="J1063" s="3" t="str">
        <f>"483"</f>
        <v>483</v>
      </c>
      <c r="K1063" s="2">
        <v>45872</v>
      </c>
      <c r="L1063" s="2">
        <v>45913</v>
      </c>
      <c r="M1063" s="1" t="s">
        <v>8542</v>
      </c>
      <c r="N1063" s="1" t="s">
        <v>8541</v>
      </c>
    </row>
    <row r="1064" spans="1:14" x14ac:dyDescent="0.35">
      <c r="A1064" s="1" t="s">
        <v>4321</v>
      </c>
      <c r="B1064" s="3" t="s">
        <v>3885</v>
      </c>
      <c r="C1064" s="1" t="s">
        <v>3891</v>
      </c>
      <c r="D1064" s="1" t="s">
        <v>8540</v>
      </c>
      <c r="E1064" s="1" t="str">
        <f>"1005"</f>
        <v>1005</v>
      </c>
      <c r="F1064" s="1" t="s">
        <v>8529</v>
      </c>
      <c r="G1064" s="1" t="s">
        <v>8528</v>
      </c>
      <c r="H1064" s="1" t="s">
        <v>15</v>
      </c>
      <c r="I1064" s="3" t="str">
        <f>"12"</f>
        <v>12</v>
      </c>
      <c r="J1064" s="3">
        <v>4063.51</v>
      </c>
      <c r="K1064" s="2">
        <v>45909</v>
      </c>
      <c r="L1064" s="2">
        <v>45912</v>
      </c>
      <c r="M1064" s="1" t="s">
        <v>8539</v>
      </c>
      <c r="N1064" s="1" t="s">
        <v>8538</v>
      </c>
    </row>
    <row r="1065" spans="1:14" x14ac:dyDescent="0.35">
      <c r="A1065" s="1" t="s">
        <v>4321</v>
      </c>
      <c r="B1065" s="3" t="s">
        <v>3183</v>
      </c>
      <c r="C1065" s="1" t="s">
        <v>3364</v>
      </c>
      <c r="D1065" s="1" t="s">
        <v>8537</v>
      </c>
      <c r="E1065" s="1" t="str">
        <f>"1005"</f>
        <v>1005</v>
      </c>
      <c r="F1065" s="1" t="s">
        <v>8529</v>
      </c>
      <c r="G1065" s="1" t="s">
        <v>8528</v>
      </c>
      <c r="H1065" s="1" t="s">
        <v>15</v>
      </c>
      <c r="I1065" s="3" t="str">
        <f>"3"</f>
        <v>3</v>
      </c>
      <c r="J1065" s="3">
        <v>4063.51</v>
      </c>
      <c r="K1065" s="2">
        <v>45909</v>
      </c>
      <c r="L1065" s="2">
        <v>45912</v>
      </c>
      <c r="M1065" s="1" t="s">
        <v>8536</v>
      </c>
      <c r="N1065" s="1" t="s">
        <v>8535</v>
      </c>
    </row>
    <row r="1066" spans="1:14" x14ac:dyDescent="0.35">
      <c r="A1066" s="1" t="s">
        <v>4321</v>
      </c>
      <c r="B1066" s="3" t="s">
        <v>2244</v>
      </c>
      <c r="C1066" s="1" t="s">
        <v>8534</v>
      </c>
      <c r="D1066" s="1" t="s">
        <v>8533</v>
      </c>
      <c r="E1066" s="1" t="str">
        <f>"1550"</f>
        <v>1550</v>
      </c>
      <c r="F1066" s="1" t="str">
        <f>"016515315"</f>
        <v>016515315</v>
      </c>
      <c r="G1066" s="1" t="s">
        <v>2334</v>
      </c>
      <c r="H1066" s="1" t="s">
        <v>19</v>
      </c>
      <c r="I1066" s="3" t="str">
        <f>"4"</f>
        <v>4</v>
      </c>
      <c r="J1066" s="3" t="str">
        <f>"6700"</f>
        <v>6700</v>
      </c>
      <c r="K1066" s="2">
        <v>45909</v>
      </c>
      <c r="L1066" s="2">
        <v>45912</v>
      </c>
      <c r="M1066" s="1" t="s">
        <v>8532</v>
      </c>
      <c r="N1066" s="1" t="s">
        <v>8531</v>
      </c>
    </row>
    <row r="1067" spans="1:14" x14ac:dyDescent="0.35">
      <c r="A1067" s="1" t="s">
        <v>4321</v>
      </c>
      <c r="B1067" s="3" t="s">
        <v>2248</v>
      </c>
      <c r="C1067" s="1" t="s">
        <v>2265</v>
      </c>
      <c r="D1067" s="1" t="s">
        <v>8530</v>
      </c>
      <c r="E1067" s="1" t="str">
        <f>"1005"</f>
        <v>1005</v>
      </c>
      <c r="F1067" s="1" t="s">
        <v>8529</v>
      </c>
      <c r="G1067" s="1" t="s">
        <v>8528</v>
      </c>
      <c r="H1067" s="1" t="s">
        <v>15</v>
      </c>
      <c r="I1067" s="3" t="str">
        <f>"13"</f>
        <v>13</v>
      </c>
      <c r="J1067" s="3">
        <v>4063.51</v>
      </c>
      <c r="K1067" s="2">
        <v>45908</v>
      </c>
      <c r="L1067" s="2">
        <v>45912</v>
      </c>
      <c r="M1067" s="1" t="s">
        <v>8527</v>
      </c>
      <c r="N1067" s="1" t="s">
        <v>8526</v>
      </c>
    </row>
    <row r="1068" spans="1:14" x14ac:dyDescent="0.35">
      <c r="A1068" s="1" t="s">
        <v>4321</v>
      </c>
      <c r="B1068" s="3" t="s">
        <v>3513</v>
      </c>
      <c r="C1068" s="1" t="s">
        <v>3801</v>
      </c>
      <c r="D1068" s="1" t="s">
        <v>8525</v>
      </c>
      <c r="E1068" s="1" t="str">
        <f>"2330"</f>
        <v>2330</v>
      </c>
      <c r="F1068" s="1" t="s">
        <v>70</v>
      </c>
      <c r="G1068" s="1" t="s">
        <v>71</v>
      </c>
      <c r="H1068" s="1" t="s">
        <v>15</v>
      </c>
      <c r="I1068" s="3" t="str">
        <f>"1"</f>
        <v>1</v>
      </c>
      <c r="J1068" s="3" t="str">
        <f>"2300"</f>
        <v>2300</v>
      </c>
      <c r="K1068" s="2">
        <v>45908</v>
      </c>
      <c r="L1068" s="2">
        <v>45912</v>
      </c>
      <c r="M1068" s="1" t="s">
        <v>8524</v>
      </c>
      <c r="N1068" s="1" t="s">
        <v>8523</v>
      </c>
    </row>
    <row r="1069" spans="1:14" x14ac:dyDescent="0.35">
      <c r="A1069" s="1" t="s">
        <v>4321</v>
      </c>
      <c r="B1069" s="3" t="s">
        <v>3513</v>
      </c>
      <c r="C1069" s="1" t="s">
        <v>3865</v>
      </c>
      <c r="D1069" s="1" t="s">
        <v>8522</v>
      </c>
      <c r="E1069" s="1" t="str">
        <f>"2330"</f>
        <v>2330</v>
      </c>
      <c r="F1069" s="1" t="s">
        <v>70</v>
      </c>
      <c r="G1069" s="1" t="s">
        <v>71</v>
      </c>
      <c r="H1069" s="1" t="s">
        <v>15</v>
      </c>
      <c r="I1069" s="3" t="str">
        <f>"1"</f>
        <v>1</v>
      </c>
      <c r="J1069" s="3" t="str">
        <f>"2300"</f>
        <v>2300</v>
      </c>
      <c r="K1069" s="2">
        <v>45908</v>
      </c>
      <c r="L1069" s="2">
        <v>45912</v>
      </c>
      <c r="M1069" s="1" t="s">
        <v>3871</v>
      </c>
      <c r="N1069" s="1" t="s">
        <v>8521</v>
      </c>
    </row>
    <row r="1070" spans="1:14" x14ac:dyDescent="0.35">
      <c r="A1070" s="1" t="s">
        <v>4321</v>
      </c>
      <c r="B1070" s="3" t="s">
        <v>4087</v>
      </c>
      <c r="C1070" s="1" t="s">
        <v>4143</v>
      </c>
      <c r="D1070" s="1" t="s">
        <v>8520</v>
      </c>
      <c r="E1070" s="1" t="str">
        <f>"1550"</f>
        <v>1550</v>
      </c>
      <c r="F1070" s="1" t="str">
        <f>"016515315"</f>
        <v>016515315</v>
      </c>
      <c r="G1070" s="1" t="s">
        <v>2334</v>
      </c>
      <c r="H1070" s="1" t="s">
        <v>19</v>
      </c>
      <c r="I1070" s="3" t="str">
        <f>"2"</f>
        <v>2</v>
      </c>
      <c r="J1070" s="3" t="str">
        <f>"6700"</f>
        <v>6700</v>
      </c>
      <c r="K1070" s="2">
        <v>45906</v>
      </c>
      <c r="L1070" s="2">
        <v>45912</v>
      </c>
      <c r="M1070" s="1" t="s">
        <v>8519</v>
      </c>
      <c r="N1070" s="1" t="s">
        <v>8518</v>
      </c>
    </row>
    <row r="1071" spans="1:14" x14ac:dyDescent="0.35">
      <c r="A1071" s="1" t="s">
        <v>4321</v>
      </c>
      <c r="B1071" s="3" t="s">
        <v>3513</v>
      </c>
      <c r="C1071" s="1" t="s">
        <v>3793</v>
      </c>
      <c r="D1071" s="1" t="s">
        <v>8517</v>
      </c>
      <c r="E1071" s="1" t="str">
        <f>"2330"</f>
        <v>2330</v>
      </c>
      <c r="F1071" s="1" t="s">
        <v>70</v>
      </c>
      <c r="G1071" s="1" t="s">
        <v>71</v>
      </c>
      <c r="H1071" s="1" t="s">
        <v>15</v>
      </c>
      <c r="I1071" s="3" t="str">
        <f>"1"</f>
        <v>1</v>
      </c>
      <c r="J1071" s="3" t="str">
        <f>"2300"</f>
        <v>2300</v>
      </c>
      <c r="K1071" s="2">
        <v>45906</v>
      </c>
      <c r="L1071" s="2">
        <v>45912</v>
      </c>
      <c r="M1071" s="1" t="s">
        <v>8516</v>
      </c>
      <c r="N1071" s="1" t="s">
        <v>8515</v>
      </c>
    </row>
    <row r="1072" spans="1:14" x14ac:dyDescent="0.35">
      <c r="A1072" s="1" t="s">
        <v>4321</v>
      </c>
      <c r="B1072" s="3" t="s">
        <v>2456</v>
      </c>
      <c r="C1072" s="1" t="s">
        <v>2457</v>
      </c>
      <c r="D1072" s="1" t="s">
        <v>8514</v>
      </c>
      <c r="E1072" s="1" t="str">
        <f>"5965"</f>
        <v>5965</v>
      </c>
      <c r="F1072" s="1" t="str">
        <f>"226297499"</f>
        <v>226297499</v>
      </c>
      <c r="G1072" s="1" t="s">
        <v>22</v>
      </c>
      <c r="H1072" s="1" t="s">
        <v>15</v>
      </c>
      <c r="I1072" s="3" t="str">
        <f>"2"</f>
        <v>2</v>
      </c>
      <c r="J1072" s="3">
        <v>2219.81</v>
      </c>
      <c r="K1072" s="2">
        <v>45903</v>
      </c>
      <c r="L1072" s="2">
        <v>45912</v>
      </c>
      <c r="M1072" s="1" t="s">
        <v>8513</v>
      </c>
      <c r="N1072" s="1" t="s">
        <v>8512</v>
      </c>
    </row>
    <row r="1073" spans="1:14" x14ac:dyDescent="0.35">
      <c r="A1073" s="1" t="s">
        <v>4321</v>
      </c>
      <c r="B1073" s="3" t="s">
        <v>2456</v>
      </c>
      <c r="C1073" s="1" t="s">
        <v>2457</v>
      </c>
      <c r="D1073" s="1" t="s">
        <v>8511</v>
      </c>
      <c r="E1073" s="1" t="str">
        <f>"5965"</f>
        <v>5965</v>
      </c>
      <c r="F1073" s="1" t="str">
        <f>"016190258"</f>
        <v>016190258</v>
      </c>
      <c r="G1073" s="1" t="s">
        <v>22</v>
      </c>
      <c r="H1073" s="1" t="s">
        <v>15</v>
      </c>
      <c r="I1073" s="3" t="str">
        <f>"8"</f>
        <v>8</v>
      </c>
      <c r="J1073" s="3" t="str">
        <f>"3069"</f>
        <v>3069</v>
      </c>
      <c r="K1073" s="2">
        <v>45903</v>
      </c>
      <c r="L1073" s="2">
        <v>45912</v>
      </c>
      <c r="M1073" s="1" t="s">
        <v>8510</v>
      </c>
      <c r="N1073" s="1" t="s">
        <v>8509</v>
      </c>
    </row>
    <row r="1074" spans="1:14" x14ac:dyDescent="0.35">
      <c r="A1074" s="1" t="s">
        <v>4321</v>
      </c>
      <c r="B1074" s="3" t="s">
        <v>2638</v>
      </c>
      <c r="C1074" s="1" t="s">
        <v>8508</v>
      </c>
      <c r="D1074" s="1" t="s">
        <v>8507</v>
      </c>
      <c r="E1074" s="1" t="str">
        <f>"2350"</f>
        <v>2350</v>
      </c>
      <c r="F1074" s="1" t="str">
        <f>"012816451"</f>
        <v>012816451</v>
      </c>
      <c r="G1074" s="1" t="s">
        <v>8506</v>
      </c>
      <c r="H1074" s="1" t="s">
        <v>15</v>
      </c>
      <c r="I1074" s="3" t="str">
        <f>"1"</f>
        <v>1</v>
      </c>
      <c r="J1074" s="3" t="str">
        <f>"125969"</f>
        <v>125969</v>
      </c>
      <c r="K1074" s="2">
        <v>45902</v>
      </c>
      <c r="L1074" s="2">
        <v>45912</v>
      </c>
      <c r="M1074" s="1" t="s">
        <v>8505</v>
      </c>
      <c r="N1074" s="1" t="s">
        <v>8504</v>
      </c>
    </row>
    <row r="1075" spans="1:14" x14ac:dyDescent="0.35">
      <c r="A1075" s="1" t="s">
        <v>4321</v>
      </c>
      <c r="B1075" s="3" t="s">
        <v>1445</v>
      </c>
      <c r="C1075" s="1" t="s">
        <v>1446</v>
      </c>
      <c r="D1075" s="1" t="s">
        <v>8503</v>
      </c>
      <c r="E1075" s="1" t="str">
        <f>"5411"</f>
        <v>5411</v>
      </c>
      <c r="F1075" s="1" t="str">
        <f>"013554322"</f>
        <v>013554322</v>
      </c>
      <c r="G1075" s="1" t="s">
        <v>1453</v>
      </c>
      <c r="H1075" s="1" t="s">
        <v>15</v>
      </c>
      <c r="I1075" s="3" t="str">
        <f>"2"</f>
        <v>2</v>
      </c>
      <c r="J1075" s="3" t="str">
        <f>"2500"</f>
        <v>2500</v>
      </c>
      <c r="K1075" s="2">
        <v>45891</v>
      </c>
      <c r="L1075" s="2">
        <v>45912</v>
      </c>
      <c r="M1075" s="1" t="s">
        <v>8502</v>
      </c>
      <c r="N1075" s="1" t="s">
        <v>8501</v>
      </c>
    </row>
    <row r="1076" spans="1:14" x14ac:dyDescent="0.35">
      <c r="A1076" s="1" t="s">
        <v>4321</v>
      </c>
      <c r="B1076" s="3" t="s">
        <v>2248</v>
      </c>
      <c r="C1076" s="1" t="s">
        <v>2414</v>
      </c>
      <c r="D1076" s="1" t="s">
        <v>8500</v>
      </c>
      <c r="E1076" s="1" t="str">
        <f>"2320"</f>
        <v>2320</v>
      </c>
      <c r="F1076" s="1" t="str">
        <f>"014474938"</f>
        <v>014474938</v>
      </c>
      <c r="G1076" s="1" t="s">
        <v>117</v>
      </c>
      <c r="H1076" s="1" t="s">
        <v>15</v>
      </c>
      <c r="I1076" s="3" t="str">
        <f>"1"</f>
        <v>1</v>
      </c>
      <c r="J1076" s="3" t="str">
        <f>"230363"</f>
        <v>230363</v>
      </c>
      <c r="K1076" s="2">
        <v>45888</v>
      </c>
      <c r="L1076" s="2">
        <v>45912</v>
      </c>
      <c r="M1076" s="1" t="s">
        <v>8499</v>
      </c>
      <c r="N1076" s="1" t="s">
        <v>8498</v>
      </c>
    </row>
    <row r="1077" spans="1:14" x14ac:dyDescent="0.35">
      <c r="A1077" s="1" t="s">
        <v>4321</v>
      </c>
      <c r="B1077" s="3" t="s">
        <v>2720</v>
      </c>
      <c r="C1077" s="1" t="s">
        <v>2765</v>
      </c>
      <c r="D1077" s="1" t="s">
        <v>8497</v>
      </c>
      <c r="E1077" s="1" t="str">
        <f>"5140"</f>
        <v>5140</v>
      </c>
      <c r="F1077" s="1" t="s">
        <v>161</v>
      </c>
      <c r="G1077" s="1" t="s">
        <v>162</v>
      </c>
      <c r="H1077" s="1" t="s">
        <v>15</v>
      </c>
      <c r="I1077" s="3" t="str">
        <f>"1"</f>
        <v>1</v>
      </c>
      <c r="J1077" s="3">
        <v>4016.97</v>
      </c>
      <c r="K1077" s="2">
        <v>45880</v>
      </c>
      <c r="L1077" s="2">
        <v>45912</v>
      </c>
      <c r="M1077" s="1" t="s">
        <v>8496</v>
      </c>
      <c r="N1077" s="1" t="s">
        <v>8495</v>
      </c>
    </row>
    <row r="1078" spans="1:14" x14ac:dyDescent="0.35">
      <c r="A1078" s="1" t="s">
        <v>4321</v>
      </c>
      <c r="B1078" s="3" t="s">
        <v>3183</v>
      </c>
      <c r="C1078" s="1" t="s">
        <v>3352</v>
      </c>
      <c r="D1078" s="1" t="s">
        <v>8494</v>
      </c>
      <c r="E1078" s="1" t="str">
        <f>"2320"</f>
        <v>2320</v>
      </c>
      <c r="F1078" s="1" t="str">
        <f>"011268357"</f>
        <v>011268357</v>
      </c>
      <c r="G1078" s="1" t="s">
        <v>1448</v>
      </c>
      <c r="H1078" s="1" t="s">
        <v>15</v>
      </c>
      <c r="I1078" s="3" t="str">
        <f>"1"</f>
        <v>1</v>
      </c>
      <c r="J1078" s="3" t="str">
        <f>"23795"</f>
        <v>23795</v>
      </c>
      <c r="K1078" s="2">
        <v>45874</v>
      </c>
      <c r="L1078" s="2">
        <v>45912</v>
      </c>
      <c r="M1078" s="1" t="s">
        <v>8493</v>
      </c>
      <c r="N1078" s="1" t="s">
        <v>8492</v>
      </c>
    </row>
    <row r="1079" spans="1:14" x14ac:dyDescent="0.35">
      <c r="A1079" s="1" t="s">
        <v>4321</v>
      </c>
      <c r="B1079" s="3" t="s">
        <v>2000</v>
      </c>
      <c r="C1079" s="1" t="s">
        <v>4539</v>
      </c>
      <c r="D1079" s="1" t="s">
        <v>8491</v>
      </c>
      <c r="E1079" s="1" t="str">
        <f>"1240"</f>
        <v>1240</v>
      </c>
      <c r="F1079" s="1" t="str">
        <f>"015871372"</f>
        <v>015871372</v>
      </c>
      <c r="G1079" s="1" t="s">
        <v>8438</v>
      </c>
      <c r="H1079" s="1" t="s">
        <v>15</v>
      </c>
      <c r="I1079" s="3" t="str">
        <f>"15"</f>
        <v>15</v>
      </c>
      <c r="J1079" s="3">
        <v>602.34</v>
      </c>
      <c r="K1079" s="2">
        <v>45909</v>
      </c>
      <c r="L1079" s="2">
        <v>45911</v>
      </c>
      <c r="M1079" s="1" t="s">
        <v>8490</v>
      </c>
      <c r="N1079" s="1" t="s">
        <v>8489</v>
      </c>
    </row>
    <row r="1080" spans="1:14" x14ac:dyDescent="0.35">
      <c r="A1080" s="1" t="s">
        <v>4321</v>
      </c>
      <c r="B1080" s="3" t="s">
        <v>2720</v>
      </c>
      <c r="C1080" s="1" t="s">
        <v>2757</v>
      </c>
      <c r="D1080" s="1" t="s">
        <v>8488</v>
      </c>
      <c r="E1080" s="1" t="str">
        <f>"1240"</f>
        <v>1240</v>
      </c>
      <c r="F1080" s="1" t="str">
        <f>"015871372"</f>
        <v>015871372</v>
      </c>
      <c r="G1080" s="1" t="s">
        <v>8438</v>
      </c>
      <c r="H1080" s="1" t="s">
        <v>15</v>
      </c>
      <c r="I1080" s="3" t="str">
        <f>"12"</f>
        <v>12</v>
      </c>
      <c r="J1080" s="3">
        <v>602.34</v>
      </c>
      <c r="K1080" s="2">
        <v>45909</v>
      </c>
      <c r="L1080" s="2">
        <v>45911</v>
      </c>
      <c r="M1080" s="1" t="s">
        <v>8487</v>
      </c>
      <c r="N1080" s="1" t="s">
        <v>8486</v>
      </c>
    </row>
    <row r="1081" spans="1:14" x14ac:dyDescent="0.35">
      <c r="A1081" s="1" t="s">
        <v>4321</v>
      </c>
      <c r="B1081" s="3" t="s">
        <v>3513</v>
      </c>
      <c r="C1081" s="1" t="s">
        <v>8485</v>
      </c>
      <c r="D1081" s="1" t="s">
        <v>8484</v>
      </c>
      <c r="E1081" s="1" t="str">
        <f>"1240"</f>
        <v>1240</v>
      </c>
      <c r="F1081" s="1" t="str">
        <f>"015871372"</f>
        <v>015871372</v>
      </c>
      <c r="G1081" s="1" t="s">
        <v>8438</v>
      </c>
      <c r="H1081" s="1" t="s">
        <v>15</v>
      </c>
      <c r="I1081" s="3" t="str">
        <f>"6"</f>
        <v>6</v>
      </c>
      <c r="J1081" s="3">
        <v>602.34</v>
      </c>
      <c r="K1081" s="2">
        <v>45909</v>
      </c>
      <c r="L1081" s="2">
        <v>45911</v>
      </c>
      <c r="M1081" s="1" t="s">
        <v>8483</v>
      </c>
      <c r="N1081" s="1" t="s">
        <v>8482</v>
      </c>
    </row>
    <row r="1082" spans="1:14" x14ac:dyDescent="0.35">
      <c r="A1082" s="1" t="s">
        <v>4321</v>
      </c>
      <c r="B1082" s="3" t="s">
        <v>1317</v>
      </c>
      <c r="C1082" s="1" t="s">
        <v>1371</v>
      </c>
      <c r="D1082" s="1" t="s">
        <v>8481</v>
      </c>
      <c r="E1082" s="1" t="str">
        <f>"1240"</f>
        <v>1240</v>
      </c>
      <c r="F1082" s="1" t="str">
        <f>"015871372"</f>
        <v>015871372</v>
      </c>
      <c r="G1082" s="1" t="s">
        <v>8438</v>
      </c>
      <c r="H1082" s="1" t="s">
        <v>15</v>
      </c>
      <c r="I1082" s="3" t="str">
        <f>"10"</f>
        <v>10</v>
      </c>
      <c r="J1082" s="3">
        <v>602.34</v>
      </c>
      <c r="K1082" s="2">
        <v>45909</v>
      </c>
      <c r="L1082" s="2">
        <v>45911</v>
      </c>
      <c r="M1082" s="1" t="s">
        <v>8480</v>
      </c>
      <c r="N1082" s="1" t="s">
        <v>8479</v>
      </c>
    </row>
    <row r="1083" spans="1:14" x14ac:dyDescent="0.35">
      <c r="A1083" s="1" t="s">
        <v>4321</v>
      </c>
      <c r="B1083" s="3" t="s">
        <v>11</v>
      </c>
      <c r="C1083" s="1" t="s">
        <v>7790</v>
      </c>
      <c r="D1083" s="1" t="s">
        <v>8478</v>
      </c>
      <c r="E1083" s="1" t="str">
        <f>"1240"</f>
        <v>1240</v>
      </c>
      <c r="F1083" s="1" t="str">
        <f>"015871372"</f>
        <v>015871372</v>
      </c>
      <c r="G1083" s="1" t="s">
        <v>8438</v>
      </c>
      <c r="H1083" s="1" t="s">
        <v>15</v>
      </c>
      <c r="I1083" s="3" t="str">
        <f>"17"</f>
        <v>17</v>
      </c>
      <c r="J1083" s="3">
        <v>602.34</v>
      </c>
      <c r="K1083" s="2">
        <v>45909</v>
      </c>
      <c r="L1083" s="2">
        <v>45911</v>
      </c>
      <c r="M1083" s="1" t="s">
        <v>8477</v>
      </c>
      <c r="N1083" s="1" t="s">
        <v>4343</v>
      </c>
    </row>
    <row r="1084" spans="1:14" x14ac:dyDescent="0.35">
      <c r="A1084" s="1" t="s">
        <v>4321</v>
      </c>
      <c r="B1084" s="3" t="s">
        <v>2720</v>
      </c>
      <c r="C1084" s="1" t="s">
        <v>2732</v>
      </c>
      <c r="D1084" s="1" t="s">
        <v>8476</v>
      </c>
      <c r="E1084" s="1" t="str">
        <f>"1240"</f>
        <v>1240</v>
      </c>
      <c r="F1084" s="1" t="str">
        <f>"015871372"</f>
        <v>015871372</v>
      </c>
      <c r="G1084" s="1" t="s">
        <v>8438</v>
      </c>
      <c r="H1084" s="1" t="s">
        <v>15</v>
      </c>
      <c r="I1084" s="3" t="str">
        <f>"12"</f>
        <v>12</v>
      </c>
      <c r="J1084" s="3">
        <v>602.34</v>
      </c>
      <c r="K1084" s="2">
        <v>45908</v>
      </c>
      <c r="L1084" s="2">
        <v>45911</v>
      </c>
      <c r="M1084" s="1" t="s">
        <v>8475</v>
      </c>
      <c r="N1084" s="1" t="s">
        <v>8474</v>
      </c>
    </row>
    <row r="1085" spans="1:14" x14ac:dyDescent="0.35">
      <c r="A1085" s="1" t="s">
        <v>4321</v>
      </c>
      <c r="B1085" s="3" t="s">
        <v>2720</v>
      </c>
      <c r="C1085" s="1" t="s">
        <v>2745</v>
      </c>
      <c r="D1085" s="1" t="s">
        <v>8473</v>
      </c>
      <c r="E1085" s="1" t="str">
        <f>"1005"</f>
        <v>1005</v>
      </c>
      <c r="F1085" s="1" t="str">
        <f>"200024811"</f>
        <v>200024811</v>
      </c>
      <c r="G1085" s="1" t="s">
        <v>7901</v>
      </c>
      <c r="H1085" s="1" t="s">
        <v>19</v>
      </c>
      <c r="I1085" s="3" t="str">
        <f>"10"</f>
        <v>10</v>
      </c>
      <c r="J1085" s="3">
        <v>475.81</v>
      </c>
      <c r="K1085" s="2">
        <v>45908</v>
      </c>
      <c r="L1085" s="2">
        <v>45911</v>
      </c>
      <c r="M1085" s="1" t="s">
        <v>8472</v>
      </c>
      <c r="N1085" s="1" t="s">
        <v>8471</v>
      </c>
    </row>
    <row r="1086" spans="1:14" x14ac:dyDescent="0.35">
      <c r="A1086" s="1" t="s">
        <v>4321</v>
      </c>
      <c r="B1086" s="3" t="s">
        <v>2720</v>
      </c>
      <c r="C1086" s="1" t="s">
        <v>2745</v>
      </c>
      <c r="D1086" s="1" t="s">
        <v>8473</v>
      </c>
      <c r="E1086" s="1" t="str">
        <f>"1005"</f>
        <v>1005</v>
      </c>
      <c r="F1086" s="1" t="str">
        <f>"200024811"</f>
        <v>200024811</v>
      </c>
      <c r="G1086" s="1" t="s">
        <v>7901</v>
      </c>
      <c r="H1086" s="1" t="s">
        <v>19</v>
      </c>
      <c r="I1086" s="3" t="str">
        <f>"10"</f>
        <v>10</v>
      </c>
      <c r="J1086" s="3">
        <v>475.81</v>
      </c>
      <c r="K1086" s="2">
        <v>45908</v>
      </c>
      <c r="L1086" s="2">
        <v>45911</v>
      </c>
      <c r="M1086" s="1" t="s">
        <v>8472</v>
      </c>
      <c r="N1086" s="1" t="s">
        <v>8471</v>
      </c>
    </row>
    <row r="1087" spans="1:14" x14ac:dyDescent="0.35">
      <c r="A1087" s="1" t="s">
        <v>4321</v>
      </c>
      <c r="B1087" s="3" t="s">
        <v>2456</v>
      </c>
      <c r="C1087" s="1" t="s">
        <v>2457</v>
      </c>
      <c r="D1087" s="1" t="s">
        <v>8470</v>
      </c>
      <c r="E1087" s="1" t="str">
        <f>"4240"</f>
        <v>4240</v>
      </c>
      <c r="F1087" s="1" t="str">
        <f>"016306712"</f>
        <v>016306712</v>
      </c>
      <c r="G1087" s="1" t="s">
        <v>211</v>
      </c>
      <c r="H1087" s="1" t="s">
        <v>15</v>
      </c>
      <c r="I1087" s="3" t="str">
        <f>"15"</f>
        <v>15</v>
      </c>
      <c r="J1087" s="3">
        <v>68.75</v>
      </c>
      <c r="K1087" s="2">
        <v>45908</v>
      </c>
      <c r="L1087" s="2">
        <v>45911</v>
      </c>
      <c r="M1087" s="1" t="s">
        <v>8469</v>
      </c>
      <c r="N1087" s="1" t="s">
        <v>8468</v>
      </c>
    </row>
    <row r="1088" spans="1:14" x14ac:dyDescent="0.35">
      <c r="A1088" s="1" t="s">
        <v>4321</v>
      </c>
      <c r="B1088" s="3" t="s">
        <v>2987</v>
      </c>
      <c r="C1088" s="1" t="s">
        <v>8326</v>
      </c>
      <c r="D1088" s="1" t="s">
        <v>8467</v>
      </c>
      <c r="E1088" s="1" t="str">
        <f>"1240"</f>
        <v>1240</v>
      </c>
      <c r="F1088" s="1" t="str">
        <f>"015871372"</f>
        <v>015871372</v>
      </c>
      <c r="G1088" s="1" t="s">
        <v>8438</v>
      </c>
      <c r="H1088" s="1" t="s">
        <v>15</v>
      </c>
      <c r="I1088" s="3" t="str">
        <f>"10"</f>
        <v>10</v>
      </c>
      <c r="J1088" s="3">
        <v>602.34</v>
      </c>
      <c r="K1088" s="2">
        <v>45908</v>
      </c>
      <c r="L1088" s="2">
        <v>45911</v>
      </c>
      <c r="M1088" s="1" t="s">
        <v>8466</v>
      </c>
      <c r="N1088" s="1" t="s">
        <v>8465</v>
      </c>
    </row>
    <row r="1089" spans="1:14" x14ac:dyDescent="0.35">
      <c r="A1089" s="1" t="s">
        <v>4321</v>
      </c>
      <c r="B1089" s="3" t="s">
        <v>3183</v>
      </c>
      <c r="C1089" s="1" t="s">
        <v>3364</v>
      </c>
      <c r="D1089" s="1" t="s">
        <v>8464</v>
      </c>
      <c r="E1089" s="1" t="str">
        <f>"6230"</f>
        <v>6230</v>
      </c>
      <c r="F1089" s="1" t="str">
        <f>"015912511"</f>
        <v>015912511</v>
      </c>
      <c r="G1089" s="1" t="s">
        <v>538</v>
      </c>
      <c r="H1089" s="1" t="s">
        <v>15</v>
      </c>
      <c r="I1089" s="3" t="str">
        <f>"30"</f>
        <v>30</v>
      </c>
      <c r="J1089" s="3">
        <v>484.22</v>
      </c>
      <c r="K1089" s="2">
        <v>45908</v>
      </c>
      <c r="L1089" s="2">
        <v>45911</v>
      </c>
      <c r="M1089" s="1" t="s">
        <v>8463</v>
      </c>
      <c r="N1089" s="1" t="s">
        <v>8462</v>
      </c>
    </row>
    <row r="1090" spans="1:14" x14ac:dyDescent="0.35">
      <c r="A1090" s="1" t="s">
        <v>4321</v>
      </c>
      <c r="B1090" s="3" t="s">
        <v>3885</v>
      </c>
      <c r="C1090" s="1" t="s">
        <v>8461</v>
      </c>
      <c r="D1090" s="1" t="s">
        <v>8460</v>
      </c>
      <c r="E1090" s="1" t="str">
        <f>"4240"</f>
        <v>4240</v>
      </c>
      <c r="F1090" s="1" t="str">
        <f>"016306712"</f>
        <v>016306712</v>
      </c>
      <c r="G1090" s="1" t="s">
        <v>211</v>
      </c>
      <c r="H1090" s="1" t="s">
        <v>15</v>
      </c>
      <c r="I1090" s="3" t="str">
        <f>"12"</f>
        <v>12</v>
      </c>
      <c r="J1090" s="3">
        <v>68.75</v>
      </c>
      <c r="K1090" s="2">
        <v>45908</v>
      </c>
      <c r="L1090" s="2">
        <v>45911</v>
      </c>
      <c r="M1090" s="1" t="s">
        <v>8459</v>
      </c>
      <c r="N1090" s="1" t="s">
        <v>8458</v>
      </c>
    </row>
    <row r="1091" spans="1:14" x14ac:dyDescent="0.35">
      <c r="A1091" s="1" t="s">
        <v>4321</v>
      </c>
      <c r="B1091" s="3" t="s">
        <v>4087</v>
      </c>
      <c r="C1091" s="1" t="s">
        <v>4143</v>
      </c>
      <c r="D1091" s="1" t="s">
        <v>8457</v>
      </c>
      <c r="E1091" s="1" t="str">
        <f>"4240"</f>
        <v>4240</v>
      </c>
      <c r="F1091" s="1" t="str">
        <f>"016306712"</f>
        <v>016306712</v>
      </c>
      <c r="G1091" s="1" t="s">
        <v>211</v>
      </c>
      <c r="H1091" s="1" t="s">
        <v>15</v>
      </c>
      <c r="I1091" s="3" t="str">
        <f>"6"</f>
        <v>6</v>
      </c>
      <c r="J1091" s="3">
        <v>68.75</v>
      </c>
      <c r="K1091" s="2">
        <v>45908</v>
      </c>
      <c r="L1091" s="2">
        <v>45911</v>
      </c>
      <c r="M1091" s="1" t="s">
        <v>8456</v>
      </c>
      <c r="N1091" s="1" t="s">
        <v>8455</v>
      </c>
    </row>
    <row r="1092" spans="1:14" x14ac:dyDescent="0.35">
      <c r="A1092" s="1" t="s">
        <v>4321</v>
      </c>
      <c r="B1092" s="3" t="s">
        <v>2000</v>
      </c>
      <c r="C1092" s="1" t="s">
        <v>2105</v>
      </c>
      <c r="D1092" s="1" t="s">
        <v>8454</v>
      </c>
      <c r="E1092" s="1" t="str">
        <f>"1240"</f>
        <v>1240</v>
      </c>
      <c r="F1092" s="1" t="str">
        <f>"015871372"</f>
        <v>015871372</v>
      </c>
      <c r="G1092" s="1" t="s">
        <v>8438</v>
      </c>
      <c r="H1092" s="1" t="s">
        <v>15</v>
      </c>
      <c r="I1092" s="3" t="str">
        <f>"10"</f>
        <v>10</v>
      </c>
      <c r="J1092" s="3">
        <v>602.34</v>
      </c>
      <c r="K1092" s="2">
        <v>45908</v>
      </c>
      <c r="L1092" s="2">
        <v>45911</v>
      </c>
      <c r="M1092" s="1" t="s">
        <v>8453</v>
      </c>
      <c r="N1092" s="1" t="s">
        <v>8452</v>
      </c>
    </row>
    <row r="1093" spans="1:14" x14ac:dyDescent="0.35">
      <c r="A1093" s="1" t="s">
        <v>4321</v>
      </c>
      <c r="B1093" s="3" t="s">
        <v>2720</v>
      </c>
      <c r="C1093" s="1" t="s">
        <v>2897</v>
      </c>
      <c r="D1093" s="1" t="s">
        <v>8451</v>
      </c>
      <c r="E1093" s="1" t="str">
        <f>"1240"</f>
        <v>1240</v>
      </c>
      <c r="F1093" s="1" t="str">
        <f>"015871372"</f>
        <v>015871372</v>
      </c>
      <c r="G1093" s="1" t="s">
        <v>8438</v>
      </c>
      <c r="H1093" s="1" t="s">
        <v>15</v>
      </c>
      <c r="I1093" s="3" t="str">
        <f>"6"</f>
        <v>6</v>
      </c>
      <c r="J1093" s="3">
        <v>602.34</v>
      </c>
      <c r="K1093" s="2">
        <v>45908</v>
      </c>
      <c r="L1093" s="2">
        <v>45911</v>
      </c>
      <c r="M1093" s="1" t="s">
        <v>8450</v>
      </c>
      <c r="N1093" s="1" t="s">
        <v>8449</v>
      </c>
    </row>
    <row r="1094" spans="1:14" x14ac:dyDescent="0.35">
      <c r="A1094" s="1" t="s">
        <v>4321</v>
      </c>
      <c r="B1094" s="3" t="s">
        <v>2720</v>
      </c>
      <c r="C1094" s="1" t="s">
        <v>2931</v>
      </c>
      <c r="D1094" s="1" t="s">
        <v>8448</v>
      </c>
      <c r="E1094" s="1" t="str">
        <f>"1240"</f>
        <v>1240</v>
      </c>
      <c r="F1094" s="1" t="str">
        <f>"015871372"</f>
        <v>015871372</v>
      </c>
      <c r="G1094" s="1" t="s">
        <v>8438</v>
      </c>
      <c r="H1094" s="1" t="s">
        <v>15</v>
      </c>
      <c r="I1094" s="3" t="str">
        <f>"15"</f>
        <v>15</v>
      </c>
      <c r="J1094" s="3">
        <v>602.34</v>
      </c>
      <c r="K1094" s="2">
        <v>45908</v>
      </c>
      <c r="L1094" s="2">
        <v>45911</v>
      </c>
      <c r="M1094" s="1" t="s">
        <v>8447</v>
      </c>
      <c r="N1094" s="1" t="s">
        <v>8446</v>
      </c>
    </row>
    <row r="1095" spans="1:14" x14ac:dyDescent="0.35">
      <c r="A1095" s="1" t="s">
        <v>4321</v>
      </c>
      <c r="B1095" s="3" t="s">
        <v>2720</v>
      </c>
      <c r="C1095" s="1" t="s">
        <v>2745</v>
      </c>
      <c r="D1095" s="1" t="s">
        <v>8445</v>
      </c>
      <c r="E1095" s="1" t="str">
        <f>"1240"</f>
        <v>1240</v>
      </c>
      <c r="F1095" s="1" t="str">
        <f>"015871372"</f>
        <v>015871372</v>
      </c>
      <c r="G1095" s="1" t="s">
        <v>8438</v>
      </c>
      <c r="H1095" s="1" t="s">
        <v>15</v>
      </c>
      <c r="I1095" s="3" t="str">
        <f>"22"</f>
        <v>22</v>
      </c>
      <c r="J1095" s="3">
        <v>602.34</v>
      </c>
      <c r="K1095" s="2">
        <v>45907</v>
      </c>
      <c r="L1095" s="2">
        <v>45911</v>
      </c>
      <c r="M1095" s="1" t="s">
        <v>8444</v>
      </c>
      <c r="N1095" s="1" t="s">
        <v>8443</v>
      </c>
    </row>
    <row r="1096" spans="1:14" x14ac:dyDescent="0.35">
      <c r="A1096" s="1" t="s">
        <v>4321</v>
      </c>
      <c r="B1096" s="3" t="s">
        <v>2720</v>
      </c>
      <c r="C1096" s="1" t="s">
        <v>2828</v>
      </c>
      <c r="D1096" s="1" t="s">
        <v>8442</v>
      </c>
      <c r="E1096" s="1" t="str">
        <f>"1240"</f>
        <v>1240</v>
      </c>
      <c r="F1096" s="1" t="str">
        <f>"015871372"</f>
        <v>015871372</v>
      </c>
      <c r="G1096" s="1" t="s">
        <v>8438</v>
      </c>
      <c r="H1096" s="1" t="s">
        <v>15</v>
      </c>
      <c r="I1096" s="3" t="str">
        <f>"1"</f>
        <v>1</v>
      </c>
      <c r="J1096" s="3">
        <v>602.34</v>
      </c>
      <c r="K1096" s="2">
        <v>45907</v>
      </c>
      <c r="L1096" s="2">
        <v>45911</v>
      </c>
      <c r="M1096" s="1" t="s">
        <v>8441</v>
      </c>
      <c r="N1096" s="1" t="s">
        <v>8440</v>
      </c>
    </row>
    <row r="1097" spans="1:14" x14ac:dyDescent="0.35">
      <c r="A1097" s="1" t="s">
        <v>4321</v>
      </c>
      <c r="B1097" s="3" t="s">
        <v>2720</v>
      </c>
      <c r="C1097" s="1" t="s">
        <v>2828</v>
      </c>
      <c r="D1097" s="1" t="s">
        <v>8439</v>
      </c>
      <c r="E1097" s="1" t="str">
        <f>"1240"</f>
        <v>1240</v>
      </c>
      <c r="F1097" s="1" t="str">
        <f>"015871372"</f>
        <v>015871372</v>
      </c>
      <c r="G1097" s="1" t="s">
        <v>8438</v>
      </c>
      <c r="H1097" s="1" t="s">
        <v>15</v>
      </c>
      <c r="I1097" s="3" t="str">
        <f>"9"</f>
        <v>9</v>
      </c>
      <c r="J1097" s="3">
        <v>602.34</v>
      </c>
      <c r="K1097" s="2">
        <v>45907</v>
      </c>
      <c r="L1097" s="2">
        <v>45911</v>
      </c>
      <c r="M1097" s="1" t="s">
        <v>8437</v>
      </c>
      <c r="N1097" s="1" t="s">
        <v>8436</v>
      </c>
    </row>
    <row r="1098" spans="1:14" x14ac:dyDescent="0.35">
      <c r="A1098" s="1" t="s">
        <v>4321</v>
      </c>
      <c r="B1098" s="3" t="s">
        <v>3183</v>
      </c>
      <c r="C1098" s="1" t="s">
        <v>3256</v>
      </c>
      <c r="D1098" s="1" t="s">
        <v>8435</v>
      </c>
      <c r="E1098" s="1" t="str">
        <f>"8415"</f>
        <v>8415</v>
      </c>
      <c r="F1098" s="1" t="str">
        <f>"014726912"</f>
        <v>014726912</v>
      </c>
      <c r="G1098" s="1" t="s">
        <v>8434</v>
      </c>
      <c r="H1098" s="1" t="s">
        <v>15</v>
      </c>
      <c r="I1098" s="3" t="str">
        <f>"19"</f>
        <v>19</v>
      </c>
      <c r="J1098" s="3">
        <v>43.67</v>
      </c>
      <c r="K1098" s="2">
        <v>45906</v>
      </c>
      <c r="L1098" s="2">
        <v>45911</v>
      </c>
      <c r="M1098" s="1" t="s">
        <v>8433</v>
      </c>
      <c r="N1098" s="1" t="s">
        <v>8432</v>
      </c>
    </row>
    <row r="1099" spans="1:14" x14ac:dyDescent="0.35">
      <c r="A1099" s="1" t="s">
        <v>4321</v>
      </c>
      <c r="B1099" s="3" t="s">
        <v>1317</v>
      </c>
      <c r="C1099" s="1" t="s">
        <v>1318</v>
      </c>
      <c r="D1099" s="1" t="s">
        <v>8431</v>
      </c>
      <c r="E1099" s="1" t="str">
        <f>"8145"</f>
        <v>8145</v>
      </c>
      <c r="F1099" s="1" t="str">
        <f>"014653687"</f>
        <v>014653687</v>
      </c>
      <c r="G1099" s="1" t="s">
        <v>1353</v>
      </c>
      <c r="H1099" s="1" t="s">
        <v>15</v>
      </c>
      <c r="I1099" s="3" t="str">
        <f>"2"</f>
        <v>2</v>
      </c>
      <c r="J1099" s="3">
        <v>21325.63</v>
      </c>
      <c r="K1099" s="2">
        <v>45905</v>
      </c>
      <c r="L1099" s="2">
        <v>45911</v>
      </c>
      <c r="M1099" s="1" t="s">
        <v>1354</v>
      </c>
      <c r="N1099" s="1" t="s">
        <v>8430</v>
      </c>
    </row>
    <row r="1100" spans="1:14" x14ac:dyDescent="0.35">
      <c r="A1100" s="1" t="s">
        <v>4321</v>
      </c>
      <c r="B1100" s="3" t="s">
        <v>4087</v>
      </c>
      <c r="C1100" s="1" t="s">
        <v>4143</v>
      </c>
      <c r="D1100" s="1" t="s">
        <v>8429</v>
      </c>
      <c r="E1100" s="1" t="str">
        <f>"6645"</f>
        <v>6645</v>
      </c>
      <c r="F1100" s="1" t="s">
        <v>2796</v>
      </c>
      <c r="G1100" s="1" t="s">
        <v>2797</v>
      </c>
      <c r="H1100" s="1" t="s">
        <v>15</v>
      </c>
      <c r="I1100" s="3" t="str">
        <f>"3"</f>
        <v>3</v>
      </c>
      <c r="J1100" s="3">
        <v>669.5</v>
      </c>
      <c r="K1100" s="2">
        <v>45905</v>
      </c>
      <c r="L1100" s="2">
        <v>45911</v>
      </c>
      <c r="M1100" s="1" t="s">
        <v>8428</v>
      </c>
      <c r="N1100" s="1" t="s">
        <v>8427</v>
      </c>
    </row>
    <row r="1101" spans="1:14" x14ac:dyDescent="0.35">
      <c r="A1101" s="1" t="s">
        <v>4321</v>
      </c>
      <c r="B1101" s="3" t="s">
        <v>806</v>
      </c>
      <c r="C1101" s="1" t="s">
        <v>941</v>
      </c>
      <c r="D1101" s="1" t="s">
        <v>8426</v>
      </c>
      <c r="E1101" s="1" t="str">
        <f>"5120"</f>
        <v>5120</v>
      </c>
      <c r="F1101" s="1" t="str">
        <f>"002771479"</f>
        <v>002771479</v>
      </c>
      <c r="G1101" s="1" t="s">
        <v>8425</v>
      </c>
      <c r="H1101" s="1" t="s">
        <v>15</v>
      </c>
      <c r="I1101" s="3" t="str">
        <f>"2"</f>
        <v>2</v>
      </c>
      <c r="J1101" s="3">
        <v>50.19</v>
      </c>
      <c r="K1101" s="2">
        <v>45905</v>
      </c>
      <c r="L1101" s="2">
        <v>45911</v>
      </c>
      <c r="M1101" s="1" t="s">
        <v>8424</v>
      </c>
      <c r="N1101" s="1" t="s">
        <v>8423</v>
      </c>
    </row>
    <row r="1102" spans="1:14" x14ac:dyDescent="0.35">
      <c r="A1102" s="1" t="s">
        <v>4321</v>
      </c>
      <c r="B1102" s="3" t="s">
        <v>1445</v>
      </c>
      <c r="C1102" s="1" t="s">
        <v>1459</v>
      </c>
      <c r="D1102" s="1" t="s">
        <v>8422</v>
      </c>
      <c r="E1102" s="1" t="str">
        <f>"7240"</f>
        <v>7240</v>
      </c>
      <c r="F1102" s="1" t="str">
        <f>"000893827"</f>
        <v>000893827</v>
      </c>
      <c r="G1102" s="1" t="s">
        <v>1592</v>
      </c>
      <c r="H1102" s="1" t="s">
        <v>15</v>
      </c>
      <c r="I1102" s="3" t="str">
        <f>"6"</f>
        <v>6</v>
      </c>
      <c r="J1102" s="3">
        <v>44.15</v>
      </c>
      <c r="K1102" s="2">
        <v>45904</v>
      </c>
      <c r="L1102" s="2">
        <v>45911</v>
      </c>
      <c r="M1102" s="1" t="s">
        <v>8421</v>
      </c>
      <c r="N1102" s="1" t="s">
        <v>4343</v>
      </c>
    </row>
    <row r="1103" spans="1:14" x14ac:dyDescent="0.35">
      <c r="A1103" s="1" t="s">
        <v>4321</v>
      </c>
      <c r="B1103" s="3" t="s">
        <v>1445</v>
      </c>
      <c r="C1103" s="1" t="s">
        <v>1459</v>
      </c>
      <c r="D1103" s="1" t="s">
        <v>8420</v>
      </c>
      <c r="E1103" s="1" t="str">
        <f>"7240"</f>
        <v>7240</v>
      </c>
      <c r="F1103" s="1" t="str">
        <f>"000893827"</f>
        <v>000893827</v>
      </c>
      <c r="G1103" s="1" t="s">
        <v>1592</v>
      </c>
      <c r="H1103" s="1" t="s">
        <v>15</v>
      </c>
      <c r="I1103" s="3" t="str">
        <f>"3"</f>
        <v>3</v>
      </c>
      <c r="J1103" s="3">
        <v>44.15</v>
      </c>
      <c r="K1103" s="2">
        <v>45904</v>
      </c>
      <c r="L1103" s="2">
        <v>45911</v>
      </c>
      <c r="M1103" s="1" t="s">
        <v>8419</v>
      </c>
      <c r="N1103" s="1" t="s">
        <v>4343</v>
      </c>
    </row>
    <row r="1104" spans="1:14" x14ac:dyDescent="0.35">
      <c r="A1104" s="1" t="s">
        <v>4321</v>
      </c>
      <c r="B1104" s="3" t="s">
        <v>2720</v>
      </c>
      <c r="C1104" s="1" t="s">
        <v>2842</v>
      </c>
      <c r="D1104" s="1" t="s">
        <v>8418</v>
      </c>
      <c r="E1104" s="1" t="str">
        <f>"3920"</f>
        <v>3920</v>
      </c>
      <c r="F1104" s="1" t="s">
        <v>2723</v>
      </c>
      <c r="G1104" s="1" t="s">
        <v>2724</v>
      </c>
      <c r="H1104" s="1" t="s">
        <v>15</v>
      </c>
      <c r="I1104" s="3" t="str">
        <f>"1"</f>
        <v>1</v>
      </c>
      <c r="J1104" s="3" t="str">
        <f>"10000"</f>
        <v>10000</v>
      </c>
      <c r="K1104" s="2">
        <v>45904</v>
      </c>
      <c r="L1104" s="2">
        <v>45911</v>
      </c>
      <c r="M1104" s="1" t="s">
        <v>8417</v>
      </c>
      <c r="N1104" s="1" t="s">
        <v>8416</v>
      </c>
    </row>
    <row r="1105" spans="1:14" x14ac:dyDescent="0.35">
      <c r="A1105" s="1" t="s">
        <v>4321</v>
      </c>
      <c r="B1105" s="3" t="s">
        <v>2720</v>
      </c>
      <c r="C1105" s="1" t="s">
        <v>2842</v>
      </c>
      <c r="D1105" s="1" t="s">
        <v>8415</v>
      </c>
      <c r="E1105" s="1" t="str">
        <f>"6115"</f>
        <v>6115</v>
      </c>
      <c r="F1105" s="1" t="str">
        <f>"012755061"</f>
        <v>012755061</v>
      </c>
      <c r="G1105" s="1" t="s">
        <v>435</v>
      </c>
      <c r="H1105" s="1" t="s">
        <v>15</v>
      </c>
      <c r="I1105" s="3" t="str">
        <f>"1"</f>
        <v>1</v>
      </c>
      <c r="J1105" s="3" t="str">
        <f>"10700"</f>
        <v>10700</v>
      </c>
      <c r="K1105" s="2">
        <v>45904</v>
      </c>
      <c r="L1105" s="2">
        <v>45911</v>
      </c>
      <c r="M1105" s="1" t="s">
        <v>2848</v>
      </c>
      <c r="N1105" s="1" t="s">
        <v>8414</v>
      </c>
    </row>
    <row r="1106" spans="1:14" x14ac:dyDescent="0.35">
      <c r="A1106" s="1" t="s">
        <v>4321</v>
      </c>
      <c r="B1106" s="3" t="s">
        <v>2720</v>
      </c>
      <c r="C1106" s="1" t="s">
        <v>5548</v>
      </c>
      <c r="D1106" s="1" t="s">
        <v>8413</v>
      </c>
      <c r="E1106" s="1" t="str">
        <f>"3920"</f>
        <v>3920</v>
      </c>
      <c r="F1106" s="1" t="s">
        <v>2723</v>
      </c>
      <c r="G1106" s="1" t="s">
        <v>2724</v>
      </c>
      <c r="H1106" s="1" t="s">
        <v>15</v>
      </c>
      <c r="I1106" s="3" t="str">
        <f>"1"</f>
        <v>1</v>
      </c>
      <c r="J1106" s="3" t="str">
        <f>"10000"</f>
        <v>10000</v>
      </c>
      <c r="K1106" s="2">
        <v>45903</v>
      </c>
      <c r="L1106" s="2">
        <v>45911</v>
      </c>
      <c r="M1106" s="1" t="s">
        <v>8412</v>
      </c>
      <c r="N1106" s="1" t="s">
        <v>8411</v>
      </c>
    </row>
    <row r="1107" spans="1:14" x14ac:dyDescent="0.35">
      <c r="A1107" s="1" t="s">
        <v>4321</v>
      </c>
      <c r="B1107" s="3" t="s">
        <v>2456</v>
      </c>
      <c r="C1107" s="1" t="s">
        <v>2457</v>
      </c>
      <c r="D1107" s="1" t="s">
        <v>8410</v>
      </c>
      <c r="E1107" s="1" t="str">
        <f>"1080"</f>
        <v>1080</v>
      </c>
      <c r="F1107" s="1" t="str">
        <f>"016776912"</f>
        <v>016776912</v>
      </c>
      <c r="G1107" s="1" t="s">
        <v>3803</v>
      </c>
      <c r="H1107" s="1" t="s">
        <v>15</v>
      </c>
      <c r="I1107" s="3" t="str">
        <f>"3"</f>
        <v>3</v>
      </c>
      <c r="J1107" s="3" t="str">
        <f>"5051"</f>
        <v>5051</v>
      </c>
      <c r="K1107" s="2">
        <v>45898</v>
      </c>
      <c r="L1107" s="2">
        <v>45911</v>
      </c>
      <c r="M1107" s="1" t="s">
        <v>8409</v>
      </c>
      <c r="N1107" s="1" t="s">
        <v>8408</v>
      </c>
    </row>
    <row r="1108" spans="1:14" x14ac:dyDescent="0.35">
      <c r="A1108" s="1" t="s">
        <v>4321</v>
      </c>
      <c r="B1108" s="3" t="s">
        <v>2248</v>
      </c>
      <c r="C1108" s="1" t="s">
        <v>7603</v>
      </c>
      <c r="D1108" s="1" t="s">
        <v>8407</v>
      </c>
      <c r="E1108" s="1" t="str">
        <f>"7110"</f>
        <v>7110</v>
      </c>
      <c r="F1108" s="1" t="s">
        <v>5962</v>
      </c>
      <c r="G1108" s="1" t="s">
        <v>5961</v>
      </c>
      <c r="H1108" s="1" t="s">
        <v>15</v>
      </c>
      <c r="I1108" s="3" t="str">
        <f>"1"</f>
        <v>1</v>
      </c>
      <c r="J1108" s="3">
        <v>2206.29</v>
      </c>
      <c r="K1108" s="2">
        <v>45897</v>
      </c>
      <c r="L1108" s="2">
        <v>45911</v>
      </c>
      <c r="M1108" s="1" t="s">
        <v>8404</v>
      </c>
      <c r="N1108" s="1" t="s">
        <v>8406</v>
      </c>
    </row>
    <row r="1109" spans="1:14" x14ac:dyDescent="0.35">
      <c r="A1109" s="1" t="s">
        <v>4321</v>
      </c>
      <c r="B1109" s="3" t="s">
        <v>2248</v>
      </c>
      <c r="C1109" s="1" t="s">
        <v>7603</v>
      </c>
      <c r="D1109" s="1" t="s">
        <v>8405</v>
      </c>
      <c r="E1109" s="1" t="str">
        <f>"7110"</f>
        <v>7110</v>
      </c>
      <c r="F1109" s="1" t="s">
        <v>5962</v>
      </c>
      <c r="G1109" s="1" t="s">
        <v>5961</v>
      </c>
      <c r="H1109" s="1" t="s">
        <v>15</v>
      </c>
      <c r="I1109" s="3" t="str">
        <f>"1"</f>
        <v>1</v>
      </c>
      <c r="J1109" s="3">
        <v>2206.29</v>
      </c>
      <c r="K1109" s="2">
        <v>45897</v>
      </c>
      <c r="L1109" s="2">
        <v>45911</v>
      </c>
      <c r="M1109" s="1" t="s">
        <v>8404</v>
      </c>
      <c r="N1109" s="1" t="s">
        <v>8403</v>
      </c>
    </row>
    <row r="1110" spans="1:14" x14ac:dyDescent="0.35">
      <c r="A1110" s="1" t="s">
        <v>4321</v>
      </c>
      <c r="B1110" s="3" t="s">
        <v>2248</v>
      </c>
      <c r="C1110" s="1" t="s">
        <v>7603</v>
      </c>
      <c r="D1110" s="1" t="s">
        <v>8402</v>
      </c>
      <c r="E1110" s="1" t="str">
        <f>"8145"</f>
        <v>8145</v>
      </c>
      <c r="F1110" s="1" t="s">
        <v>1602</v>
      </c>
      <c r="G1110" s="1" t="s">
        <v>1603</v>
      </c>
      <c r="H1110" s="1" t="s">
        <v>15</v>
      </c>
      <c r="I1110" s="3" t="str">
        <f>"20"</f>
        <v>20</v>
      </c>
      <c r="J1110" s="3" t="str">
        <f>"200"</f>
        <v>200</v>
      </c>
      <c r="K1110" s="2">
        <v>45897</v>
      </c>
      <c r="L1110" s="2">
        <v>45911</v>
      </c>
      <c r="M1110" s="1" t="s">
        <v>8401</v>
      </c>
      <c r="N1110" s="1" t="s">
        <v>8400</v>
      </c>
    </row>
    <row r="1111" spans="1:14" x14ac:dyDescent="0.35">
      <c r="A1111" s="1" t="s">
        <v>4321</v>
      </c>
      <c r="B1111" s="3" t="s">
        <v>2720</v>
      </c>
      <c r="C1111" s="1" t="s">
        <v>2842</v>
      </c>
      <c r="D1111" s="1" t="s">
        <v>8399</v>
      </c>
      <c r="E1111" s="1" t="str">
        <f>"6115"</f>
        <v>6115</v>
      </c>
      <c r="F1111" s="1" t="str">
        <f>"012853012"</f>
        <v>012853012</v>
      </c>
      <c r="G1111" s="1" t="s">
        <v>435</v>
      </c>
      <c r="H1111" s="1" t="s">
        <v>15</v>
      </c>
      <c r="I1111" s="3" t="str">
        <f>"1"</f>
        <v>1</v>
      </c>
      <c r="J1111" s="3" t="str">
        <f>"44258"</f>
        <v>44258</v>
      </c>
      <c r="K1111" s="2">
        <v>45895</v>
      </c>
      <c r="L1111" s="2">
        <v>45911</v>
      </c>
      <c r="M1111" s="1" t="s">
        <v>2853</v>
      </c>
      <c r="N1111" s="1" t="s">
        <v>8398</v>
      </c>
    </row>
    <row r="1112" spans="1:14" x14ac:dyDescent="0.35">
      <c r="A1112" s="1" t="s">
        <v>4321</v>
      </c>
      <c r="B1112" s="3" t="s">
        <v>3513</v>
      </c>
      <c r="C1112" s="1" t="s">
        <v>3770</v>
      </c>
      <c r="D1112" s="1" t="s">
        <v>8397</v>
      </c>
      <c r="E1112" s="1" t="str">
        <f>"2310"</f>
        <v>2310</v>
      </c>
      <c r="F1112" s="1" t="s">
        <v>413</v>
      </c>
      <c r="G1112" s="1" t="s">
        <v>414</v>
      </c>
      <c r="H1112" s="1" t="s">
        <v>15</v>
      </c>
      <c r="I1112" s="3" t="str">
        <f>"1"</f>
        <v>1</v>
      </c>
      <c r="J1112" s="3">
        <v>23380.49</v>
      </c>
      <c r="K1112" s="2">
        <v>45894</v>
      </c>
      <c r="L1112" s="2">
        <v>45911</v>
      </c>
      <c r="M1112" s="1" t="s">
        <v>8396</v>
      </c>
      <c r="N1112" s="1" t="s">
        <v>8395</v>
      </c>
    </row>
    <row r="1113" spans="1:14" x14ac:dyDescent="0.35">
      <c r="A1113" s="1" t="s">
        <v>4321</v>
      </c>
      <c r="B1113" s="3" t="s">
        <v>3885</v>
      </c>
      <c r="C1113" s="1" t="s">
        <v>6750</v>
      </c>
      <c r="D1113" s="1" t="s">
        <v>8394</v>
      </c>
      <c r="E1113" s="1" t="str">
        <f>"5855"</f>
        <v>5855</v>
      </c>
      <c r="F1113" s="1" t="str">
        <f>"016303541"</f>
        <v>016303541</v>
      </c>
      <c r="G1113" s="1" t="s">
        <v>2117</v>
      </c>
      <c r="H1113" s="1" t="s">
        <v>15</v>
      </c>
      <c r="I1113" s="3" t="str">
        <f>"3"</f>
        <v>3</v>
      </c>
      <c r="J1113" s="3" t="str">
        <f>"114373"</f>
        <v>114373</v>
      </c>
      <c r="K1113" s="2">
        <v>45881</v>
      </c>
      <c r="L1113" s="2">
        <v>45911</v>
      </c>
      <c r="M1113" s="1" t="s">
        <v>8393</v>
      </c>
      <c r="N1113" s="1" t="s">
        <v>8392</v>
      </c>
    </row>
    <row r="1114" spans="1:14" x14ac:dyDescent="0.35">
      <c r="A1114" s="1" t="s">
        <v>4321</v>
      </c>
      <c r="B1114" s="3" t="s">
        <v>4087</v>
      </c>
      <c r="C1114" s="1" t="s">
        <v>4143</v>
      </c>
      <c r="D1114" s="1" t="s">
        <v>8391</v>
      </c>
      <c r="E1114" s="1" t="str">
        <f>"7530"</f>
        <v>7530</v>
      </c>
      <c r="F1114" s="1" t="str">
        <f>"016937613"</f>
        <v>016937613</v>
      </c>
      <c r="G1114" s="1" t="s">
        <v>8390</v>
      </c>
      <c r="H1114" s="1" t="s">
        <v>19</v>
      </c>
      <c r="I1114" s="3" t="str">
        <f>"4"</f>
        <v>4</v>
      </c>
      <c r="J1114" s="3">
        <v>74.06</v>
      </c>
      <c r="K1114" s="2">
        <v>45909</v>
      </c>
      <c r="L1114" s="2">
        <v>45910</v>
      </c>
      <c r="M1114" s="1" t="s">
        <v>8389</v>
      </c>
      <c r="N1114" s="1" t="s">
        <v>4343</v>
      </c>
    </row>
    <row r="1115" spans="1:14" x14ac:dyDescent="0.35">
      <c r="A1115" s="1" t="s">
        <v>4321</v>
      </c>
      <c r="B1115" s="3" t="s">
        <v>3183</v>
      </c>
      <c r="C1115" s="1" t="s">
        <v>3184</v>
      </c>
      <c r="D1115" s="1" t="s">
        <v>8388</v>
      </c>
      <c r="E1115" s="1" t="str">
        <f>"2340"</f>
        <v>2340</v>
      </c>
      <c r="F1115" s="1" t="s">
        <v>694</v>
      </c>
      <c r="G1115" s="1" t="s">
        <v>695</v>
      </c>
      <c r="H1115" s="1" t="s">
        <v>15</v>
      </c>
      <c r="I1115" s="3" t="str">
        <f>"2"</f>
        <v>2</v>
      </c>
      <c r="J1115" s="3" t="str">
        <f>"7784"</f>
        <v>7784</v>
      </c>
      <c r="K1115" s="2">
        <v>45906</v>
      </c>
      <c r="L1115" s="2">
        <v>45910</v>
      </c>
      <c r="M1115" s="1" t="s">
        <v>8387</v>
      </c>
      <c r="N1115" s="1" t="s">
        <v>8386</v>
      </c>
    </row>
    <row r="1116" spans="1:14" x14ac:dyDescent="0.35">
      <c r="A1116" s="1" t="s">
        <v>4321</v>
      </c>
      <c r="B1116" s="3" t="s">
        <v>3183</v>
      </c>
      <c r="C1116" s="1" t="s">
        <v>3241</v>
      </c>
      <c r="D1116" s="1" t="s">
        <v>8385</v>
      </c>
      <c r="E1116" s="1" t="str">
        <f>"2340"</f>
        <v>2340</v>
      </c>
      <c r="F1116" s="1" t="s">
        <v>694</v>
      </c>
      <c r="G1116" s="1" t="s">
        <v>695</v>
      </c>
      <c r="H1116" s="1" t="s">
        <v>15</v>
      </c>
      <c r="I1116" s="3" t="str">
        <f>"2"</f>
        <v>2</v>
      </c>
      <c r="J1116" s="3" t="str">
        <f>"7784"</f>
        <v>7784</v>
      </c>
      <c r="K1116" s="2">
        <v>45906</v>
      </c>
      <c r="L1116" s="2">
        <v>45910</v>
      </c>
      <c r="M1116" s="1" t="s">
        <v>8384</v>
      </c>
      <c r="N1116" s="1" t="s">
        <v>8383</v>
      </c>
    </row>
    <row r="1117" spans="1:14" x14ac:dyDescent="0.35">
      <c r="A1117" s="1" t="s">
        <v>4321</v>
      </c>
      <c r="B1117" s="3" t="s">
        <v>4087</v>
      </c>
      <c r="C1117" s="1" t="s">
        <v>4143</v>
      </c>
      <c r="D1117" s="1" t="s">
        <v>8382</v>
      </c>
      <c r="E1117" s="1" t="str">
        <f>"5180"</f>
        <v>5180</v>
      </c>
      <c r="F1117" s="1" t="str">
        <f>"014830249"</f>
        <v>014830249</v>
      </c>
      <c r="G1117" s="1" t="s">
        <v>220</v>
      </c>
      <c r="H1117" s="1" t="s">
        <v>58</v>
      </c>
      <c r="I1117" s="3" t="str">
        <f>"1"</f>
        <v>1</v>
      </c>
      <c r="J1117" s="3" t="str">
        <f>"1780"</f>
        <v>1780</v>
      </c>
      <c r="K1117" s="2">
        <v>45906</v>
      </c>
      <c r="L1117" s="2">
        <v>45910</v>
      </c>
      <c r="M1117" s="1" t="s">
        <v>8381</v>
      </c>
      <c r="N1117" s="1" t="s">
        <v>8380</v>
      </c>
    </row>
    <row r="1118" spans="1:14" x14ac:dyDescent="0.35">
      <c r="A1118" s="1" t="s">
        <v>4321</v>
      </c>
      <c r="B1118" s="3" t="s">
        <v>93</v>
      </c>
      <c r="C1118" s="1" t="s">
        <v>403</v>
      </c>
      <c r="D1118" s="1" t="s">
        <v>8379</v>
      </c>
      <c r="E1118" s="1" t="str">
        <f>"2340"</f>
        <v>2340</v>
      </c>
      <c r="F1118" s="1" t="s">
        <v>694</v>
      </c>
      <c r="G1118" s="1" t="s">
        <v>695</v>
      </c>
      <c r="H1118" s="1" t="s">
        <v>15</v>
      </c>
      <c r="I1118" s="3" t="str">
        <f>"1"</f>
        <v>1</v>
      </c>
      <c r="J1118" s="3" t="str">
        <f>"7784"</f>
        <v>7784</v>
      </c>
      <c r="K1118" s="2">
        <v>45906</v>
      </c>
      <c r="L1118" s="2">
        <v>45910</v>
      </c>
      <c r="M1118" s="1" t="s">
        <v>8378</v>
      </c>
      <c r="N1118" s="1" t="s">
        <v>8377</v>
      </c>
    </row>
    <row r="1119" spans="1:14" x14ac:dyDescent="0.35">
      <c r="A1119" s="1" t="s">
        <v>4321</v>
      </c>
      <c r="B1119" s="3" t="s">
        <v>3183</v>
      </c>
      <c r="C1119" s="1" t="s">
        <v>8292</v>
      </c>
      <c r="D1119" s="1" t="s">
        <v>8376</v>
      </c>
      <c r="E1119" s="1" t="str">
        <f>"2340"</f>
        <v>2340</v>
      </c>
      <c r="F1119" s="1" t="s">
        <v>694</v>
      </c>
      <c r="G1119" s="1" t="s">
        <v>695</v>
      </c>
      <c r="H1119" s="1" t="s">
        <v>15</v>
      </c>
      <c r="I1119" s="3" t="str">
        <f>"1"</f>
        <v>1</v>
      </c>
      <c r="J1119" s="3" t="str">
        <f>"7784"</f>
        <v>7784</v>
      </c>
      <c r="K1119" s="2">
        <v>45906</v>
      </c>
      <c r="L1119" s="2">
        <v>45910</v>
      </c>
      <c r="M1119" s="1" t="s">
        <v>8375</v>
      </c>
      <c r="N1119" s="1" t="s">
        <v>8374</v>
      </c>
    </row>
    <row r="1120" spans="1:14" x14ac:dyDescent="0.35">
      <c r="A1120" s="1" t="s">
        <v>4321</v>
      </c>
      <c r="B1120" s="3" t="s">
        <v>3885</v>
      </c>
      <c r="C1120" s="1" t="s">
        <v>4022</v>
      </c>
      <c r="D1120" s="1" t="s">
        <v>8373</v>
      </c>
      <c r="E1120" s="1" t="str">
        <f>"2340"</f>
        <v>2340</v>
      </c>
      <c r="F1120" s="1" t="s">
        <v>694</v>
      </c>
      <c r="G1120" s="1" t="s">
        <v>695</v>
      </c>
      <c r="H1120" s="1" t="s">
        <v>15</v>
      </c>
      <c r="I1120" s="3" t="str">
        <f>"2"</f>
        <v>2</v>
      </c>
      <c r="J1120" s="3" t="str">
        <f>"7784"</f>
        <v>7784</v>
      </c>
      <c r="K1120" s="2">
        <v>45906</v>
      </c>
      <c r="L1120" s="2">
        <v>45910</v>
      </c>
      <c r="M1120" s="1" t="s">
        <v>8372</v>
      </c>
      <c r="N1120" s="1" t="s">
        <v>8371</v>
      </c>
    </row>
    <row r="1121" spans="1:14" x14ac:dyDescent="0.35">
      <c r="A1121" s="1" t="s">
        <v>4321</v>
      </c>
      <c r="B1121" s="3" t="s">
        <v>3183</v>
      </c>
      <c r="C1121" s="1" t="s">
        <v>7863</v>
      </c>
      <c r="D1121" s="1" t="s">
        <v>8370</v>
      </c>
      <c r="E1121" s="1" t="str">
        <f>"8470"</f>
        <v>8470</v>
      </c>
      <c r="F1121" s="1" t="str">
        <f>"016977586"</f>
        <v>016977586</v>
      </c>
      <c r="G1121" s="1" t="s">
        <v>8369</v>
      </c>
      <c r="H1121" s="1" t="s">
        <v>15</v>
      </c>
      <c r="I1121" s="3" t="str">
        <f>"1"</f>
        <v>1</v>
      </c>
      <c r="J1121" s="3">
        <v>2080.9499999999998</v>
      </c>
      <c r="K1121" s="2">
        <v>45906</v>
      </c>
      <c r="L1121" s="2">
        <v>45910</v>
      </c>
      <c r="M1121" s="1" t="s">
        <v>8368</v>
      </c>
      <c r="N1121" s="1" t="s">
        <v>8367</v>
      </c>
    </row>
    <row r="1122" spans="1:14" x14ac:dyDescent="0.35">
      <c r="A1122" s="1" t="s">
        <v>4321</v>
      </c>
      <c r="B1122" s="3" t="s">
        <v>1445</v>
      </c>
      <c r="C1122" s="1" t="s">
        <v>1459</v>
      </c>
      <c r="D1122" s="1" t="s">
        <v>8366</v>
      </c>
      <c r="E1122" s="1" t="str">
        <f>"6760"</f>
        <v>6760</v>
      </c>
      <c r="F1122" s="1" t="s">
        <v>680</v>
      </c>
      <c r="G1122" s="1" t="s">
        <v>681</v>
      </c>
      <c r="H1122" s="1" t="s">
        <v>15</v>
      </c>
      <c r="I1122" s="3" t="str">
        <f>"1"</f>
        <v>1</v>
      </c>
      <c r="J1122" s="3" t="str">
        <f>"1500"</f>
        <v>1500</v>
      </c>
      <c r="K1122" s="2">
        <v>45904</v>
      </c>
      <c r="L1122" s="2">
        <v>45910</v>
      </c>
      <c r="M1122" s="1" t="s">
        <v>8189</v>
      </c>
      <c r="N1122" s="1" t="s">
        <v>4343</v>
      </c>
    </row>
    <row r="1123" spans="1:14" x14ac:dyDescent="0.35">
      <c r="A1123" s="1" t="s">
        <v>4321</v>
      </c>
      <c r="B1123" s="3" t="s">
        <v>3183</v>
      </c>
      <c r="C1123" s="1" t="s">
        <v>3490</v>
      </c>
      <c r="D1123" s="1" t="s">
        <v>8365</v>
      </c>
      <c r="E1123" s="1" t="str">
        <f>"3805"</f>
        <v>3805</v>
      </c>
      <c r="F1123" s="1" t="str">
        <f>"015023529"</f>
        <v>015023529</v>
      </c>
      <c r="G1123" s="1" t="s">
        <v>587</v>
      </c>
      <c r="H1123" s="1" t="s">
        <v>15</v>
      </c>
      <c r="I1123" s="3" t="str">
        <f>"1"</f>
        <v>1</v>
      </c>
      <c r="J1123" s="3">
        <v>16100.91</v>
      </c>
      <c r="K1123" s="2">
        <v>45903</v>
      </c>
      <c r="L1123" s="2">
        <v>45910</v>
      </c>
      <c r="M1123" s="1" t="s">
        <v>8364</v>
      </c>
      <c r="N1123" s="1" t="s">
        <v>8363</v>
      </c>
    </row>
    <row r="1124" spans="1:14" x14ac:dyDescent="0.35">
      <c r="A1124" s="1" t="s">
        <v>4321</v>
      </c>
      <c r="B1124" s="3" t="s">
        <v>2638</v>
      </c>
      <c r="C1124" s="1" t="s">
        <v>2713</v>
      </c>
      <c r="D1124" s="1" t="s">
        <v>8362</v>
      </c>
      <c r="E1124" s="1" t="str">
        <f>"7510"</f>
        <v>7510</v>
      </c>
      <c r="F1124" s="1" t="str">
        <f>"000745124"</f>
        <v>000745124</v>
      </c>
      <c r="G1124" s="1" t="s">
        <v>3987</v>
      </c>
      <c r="H1124" s="1" t="s">
        <v>532</v>
      </c>
      <c r="I1124" s="3" t="str">
        <f>"14"</f>
        <v>14</v>
      </c>
      <c r="J1124" s="3">
        <v>24.06</v>
      </c>
      <c r="K1124" s="2">
        <v>45902</v>
      </c>
      <c r="L1124" s="2">
        <v>45910</v>
      </c>
      <c r="M1124" s="1" t="s">
        <v>8361</v>
      </c>
      <c r="N1124" s="1" t="s">
        <v>8360</v>
      </c>
    </row>
    <row r="1125" spans="1:14" x14ac:dyDescent="0.35">
      <c r="A1125" s="1" t="s">
        <v>4321</v>
      </c>
      <c r="B1125" s="3" t="s">
        <v>806</v>
      </c>
      <c r="C1125" s="1" t="s">
        <v>866</v>
      </c>
      <c r="D1125" s="1" t="s">
        <v>8359</v>
      </c>
      <c r="E1125" s="1" t="str">
        <f>"5965"</f>
        <v>5965</v>
      </c>
      <c r="F1125" s="1" t="str">
        <f>"016640961"</f>
        <v>016640961</v>
      </c>
      <c r="G1125" s="1" t="s">
        <v>8352</v>
      </c>
      <c r="H1125" s="1" t="s">
        <v>19</v>
      </c>
      <c r="I1125" s="3" t="str">
        <f>"62"</f>
        <v>62</v>
      </c>
      <c r="J1125" s="3">
        <v>555.16999999999996</v>
      </c>
      <c r="K1125" s="2">
        <v>45900</v>
      </c>
      <c r="L1125" s="2">
        <v>45910</v>
      </c>
      <c r="M1125" s="1" t="s">
        <v>8358</v>
      </c>
      <c r="N1125" s="1" t="s">
        <v>8357</v>
      </c>
    </row>
    <row r="1126" spans="1:14" x14ac:dyDescent="0.35">
      <c r="A1126" s="1" t="s">
        <v>4321</v>
      </c>
      <c r="B1126" s="3" t="s">
        <v>3885</v>
      </c>
      <c r="C1126" s="1" t="s">
        <v>3895</v>
      </c>
      <c r="D1126" s="1" t="s">
        <v>8356</v>
      </c>
      <c r="E1126" s="1" t="str">
        <f>"3805"</f>
        <v>3805</v>
      </c>
      <c r="F1126" s="1" t="str">
        <f>"015023529"</f>
        <v>015023529</v>
      </c>
      <c r="G1126" s="1" t="s">
        <v>587</v>
      </c>
      <c r="H1126" s="1" t="s">
        <v>15</v>
      </c>
      <c r="I1126" s="3" t="str">
        <f>"1"</f>
        <v>1</v>
      </c>
      <c r="J1126" s="3">
        <v>16100.91</v>
      </c>
      <c r="K1126" s="2">
        <v>45900</v>
      </c>
      <c r="L1126" s="2">
        <v>45910</v>
      </c>
      <c r="M1126" s="1" t="s">
        <v>8355</v>
      </c>
      <c r="N1126" s="1" t="s">
        <v>8354</v>
      </c>
    </row>
    <row r="1127" spans="1:14" x14ac:dyDescent="0.35">
      <c r="A1127" s="1" t="s">
        <v>4321</v>
      </c>
      <c r="B1127" s="3" t="s">
        <v>3183</v>
      </c>
      <c r="C1127" s="1" t="s">
        <v>3364</v>
      </c>
      <c r="D1127" s="1" t="s">
        <v>8353</v>
      </c>
      <c r="E1127" s="1" t="str">
        <f>"5965"</f>
        <v>5965</v>
      </c>
      <c r="F1127" s="1" t="str">
        <f>"016640961"</f>
        <v>016640961</v>
      </c>
      <c r="G1127" s="1" t="s">
        <v>8352</v>
      </c>
      <c r="H1127" s="1" t="s">
        <v>19</v>
      </c>
      <c r="I1127" s="3" t="str">
        <f>"25"</f>
        <v>25</v>
      </c>
      <c r="J1127" s="3">
        <v>555.16999999999996</v>
      </c>
      <c r="K1127" s="2">
        <v>45899</v>
      </c>
      <c r="L1127" s="2">
        <v>45910</v>
      </c>
      <c r="M1127" s="1" t="s">
        <v>8351</v>
      </c>
      <c r="N1127" s="1" t="s">
        <v>8350</v>
      </c>
    </row>
    <row r="1128" spans="1:14" x14ac:dyDescent="0.35">
      <c r="A1128" s="1" t="s">
        <v>4321</v>
      </c>
      <c r="B1128" s="3" t="s">
        <v>2720</v>
      </c>
      <c r="C1128" s="1" t="s">
        <v>2765</v>
      </c>
      <c r="D1128" s="1" t="s">
        <v>8349</v>
      </c>
      <c r="E1128" s="1" t="str">
        <f>"6115"</f>
        <v>6115</v>
      </c>
      <c r="F1128" s="1" t="str">
        <f>"014133818"</f>
        <v>014133818</v>
      </c>
      <c r="G1128" s="1" t="s">
        <v>1772</v>
      </c>
      <c r="H1128" s="1" t="s">
        <v>15</v>
      </c>
      <c r="I1128" s="3" t="str">
        <f>"1"</f>
        <v>1</v>
      </c>
      <c r="J1128" s="3" t="str">
        <f>"25757"</f>
        <v>25757</v>
      </c>
      <c r="K1128" s="2">
        <v>45890</v>
      </c>
      <c r="L1128" s="2">
        <v>45910</v>
      </c>
      <c r="M1128" s="1" t="s">
        <v>8348</v>
      </c>
      <c r="N1128" s="1" t="s">
        <v>4343</v>
      </c>
    </row>
    <row r="1129" spans="1:14" x14ac:dyDescent="0.35">
      <c r="A1129" s="1" t="s">
        <v>4321</v>
      </c>
      <c r="B1129" s="3" t="s">
        <v>691</v>
      </c>
      <c r="C1129" s="1" t="s">
        <v>731</v>
      </c>
      <c r="D1129" s="1" t="s">
        <v>8347</v>
      </c>
      <c r="E1129" s="1" t="str">
        <f>"8465"</f>
        <v>8465</v>
      </c>
      <c r="F1129" s="1" t="str">
        <f>"000016482"</f>
        <v>000016482</v>
      </c>
      <c r="G1129" s="1" t="s">
        <v>8346</v>
      </c>
      <c r="H1129" s="1" t="s">
        <v>15</v>
      </c>
      <c r="I1129" s="3" t="str">
        <f>"100"</f>
        <v>100</v>
      </c>
      <c r="J1129" s="3">
        <v>8.2200000000000006</v>
      </c>
      <c r="K1129" s="2">
        <v>45889</v>
      </c>
      <c r="L1129" s="2">
        <v>45910</v>
      </c>
      <c r="M1129" s="1" t="s">
        <v>8345</v>
      </c>
      <c r="N1129" s="1" t="s">
        <v>8344</v>
      </c>
    </row>
    <row r="1130" spans="1:14" x14ac:dyDescent="0.35">
      <c r="A1130" s="1" t="s">
        <v>4321</v>
      </c>
      <c r="B1130" s="3" t="s">
        <v>3513</v>
      </c>
      <c r="C1130" s="1" t="s">
        <v>3684</v>
      </c>
      <c r="D1130" s="1" t="s">
        <v>8343</v>
      </c>
      <c r="E1130" s="1" t="str">
        <f>"2320"</f>
        <v>2320</v>
      </c>
      <c r="F1130" s="1" t="str">
        <f>"015079680"</f>
        <v>015079680</v>
      </c>
      <c r="G1130" s="1" t="s">
        <v>114</v>
      </c>
      <c r="H1130" s="1" t="s">
        <v>15</v>
      </c>
      <c r="I1130" s="3" t="str">
        <f>"1"</f>
        <v>1</v>
      </c>
      <c r="J1130" s="3" t="str">
        <f>"28829"</f>
        <v>28829</v>
      </c>
      <c r="K1130" s="2">
        <v>45887</v>
      </c>
      <c r="L1130" s="2">
        <v>45910</v>
      </c>
      <c r="M1130" s="1" t="s">
        <v>8342</v>
      </c>
      <c r="N1130" s="1" t="s">
        <v>8341</v>
      </c>
    </row>
    <row r="1131" spans="1:14" x14ac:dyDescent="0.35">
      <c r="A1131" s="1" t="s">
        <v>4321</v>
      </c>
      <c r="B1131" s="3" t="s">
        <v>2248</v>
      </c>
      <c r="C1131" s="1" t="s">
        <v>2265</v>
      </c>
      <c r="D1131" s="1" t="s">
        <v>8340</v>
      </c>
      <c r="E1131" s="1" t="str">
        <f>"6515"</f>
        <v>6515</v>
      </c>
      <c r="F1131" s="1" t="str">
        <f>"016188278"</f>
        <v>016188278</v>
      </c>
      <c r="G1131" s="1" t="s">
        <v>8339</v>
      </c>
      <c r="H1131" s="1" t="s">
        <v>290</v>
      </c>
      <c r="I1131" s="3" t="str">
        <f>"11"</f>
        <v>11</v>
      </c>
      <c r="J1131" s="3">
        <v>244.9</v>
      </c>
      <c r="K1131" s="2">
        <v>45867</v>
      </c>
      <c r="L1131" s="2">
        <v>45910</v>
      </c>
      <c r="M1131" s="1" t="s">
        <v>8338</v>
      </c>
      <c r="N1131" s="1" t="s">
        <v>8337</v>
      </c>
    </row>
    <row r="1132" spans="1:14" x14ac:dyDescent="0.35">
      <c r="A1132" s="1" t="s">
        <v>4321</v>
      </c>
      <c r="B1132" s="3" t="s">
        <v>3183</v>
      </c>
      <c r="C1132" s="1" t="s">
        <v>8336</v>
      </c>
      <c r="D1132" s="1" t="s">
        <v>8335</v>
      </c>
      <c r="E1132" s="1" t="str">
        <f>"2320"</f>
        <v>2320</v>
      </c>
      <c r="F1132" s="1" t="str">
        <f>"014436878"</f>
        <v>014436878</v>
      </c>
      <c r="G1132" s="1" t="s">
        <v>1799</v>
      </c>
      <c r="H1132" s="1" t="s">
        <v>15</v>
      </c>
      <c r="I1132" s="3" t="str">
        <f>"1"</f>
        <v>1</v>
      </c>
      <c r="J1132" s="3" t="str">
        <f>"24447"</f>
        <v>24447</v>
      </c>
      <c r="K1132" s="2">
        <v>45908</v>
      </c>
      <c r="L1132" s="2">
        <v>45909</v>
      </c>
      <c r="M1132" s="1" t="s">
        <v>8334</v>
      </c>
    </row>
    <row r="1133" spans="1:14" x14ac:dyDescent="0.35">
      <c r="A1133" s="1" t="s">
        <v>4321</v>
      </c>
      <c r="B1133" s="3" t="s">
        <v>3885</v>
      </c>
      <c r="C1133" s="1" t="s">
        <v>3895</v>
      </c>
      <c r="D1133" s="1" t="s">
        <v>8333</v>
      </c>
      <c r="E1133" s="1" t="str">
        <f>"2310"</f>
        <v>2310</v>
      </c>
      <c r="F1133" s="1" t="str">
        <f>"016231545"</f>
        <v>016231545</v>
      </c>
      <c r="G1133" s="1" t="s">
        <v>3156</v>
      </c>
      <c r="H1133" s="1" t="s">
        <v>15</v>
      </c>
      <c r="I1133" s="3" t="str">
        <f>"1"</f>
        <v>1</v>
      </c>
      <c r="J1133" s="3" t="str">
        <f>"32000"</f>
        <v>32000</v>
      </c>
      <c r="K1133" s="2">
        <v>45908</v>
      </c>
      <c r="L1133" s="2">
        <v>45909</v>
      </c>
      <c r="M1133" s="1" t="s">
        <v>8332</v>
      </c>
      <c r="N1133" s="1" t="s">
        <v>4387</v>
      </c>
    </row>
    <row r="1134" spans="1:14" x14ac:dyDescent="0.35">
      <c r="A1134" s="1" t="s">
        <v>4321</v>
      </c>
      <c r="B1134" s="3" t="s">
        <v>1857</v>
      </c>
      <c r="C1134" s="1" t="s">
        <v>4580</v>
      </c>
      <c r="D1134" s="1" t="s">
        <v>8331</v>
      </c>
      <c r="E1134" s="1" t="str">
        <f>"2310"</f>
        <v>2310</v>
      </c>
      <c r="F1134" s="1" t="str">
        <f>"016231545"</f>
        <v>016231545</v>
      </c>
      <c r="G1134" s="1" t="s">
        <v>3156</v>
      </c>
      <c r="H1134" s="1" t="s">
        <v>15</v>
      </c>
      <c r="I1134" s="3" t="str">
        <f>"1"</f>
        <v>1</v>
      </c>
      <c r="J1134" s="3" t="str">
        <f>"32000"</f>
        <v>32000</v>
      </c>
      <c r="K1134" s="2">
        <v>45908</v>
      </c>
      <c r="L1134" s="2">
        <v>45909</v>
      </c>
      <c r="M1134" s="1" t="s">
        <v>8330</v>
      </c>
      <c r="N1134" s="1" t="s">
        <v>8329</v>
      </c>
    </row>
    <row r="1135" spans="1:14" x14ac:dyDescent="0.35">
      <c r="A1135" s="1" t="s">
        <v>4321</v>
      </c>
      <c r="B1135" s="3" t="s">
        <v>2145</v>
      </c>
      <c r="C1135" s="1" t="s">
        <v>2213</v>
      </c>
      <c r="D1135" s="1" t="s">
        <v>8328</v>
      </c>
      <c r="E1135" s="1" t="str">
        <f>"5855"</f>
        <v>5855</v>
      </c>
      <c r="F1135" s="1" t="str">
        <f>"015531162"</f>
        <v>015531162</v>
      </c>
      <c r="G1135" s="1" t="s">
        <v>5611</v>
      </c>
      <c r="H1135" s="1" t="s">
        <v>15</v>
      </c>
      <c r="I1135" s="3" t="str">
        <f>"10"</f>
        <v>10</v>
      </c>
      <c r="J1135" s="3">
        <v>9225.27</v>
      </c>
      <c r="K1135" s="2">
        <v>45908</v>
      </c>
      <c r="L1135" s="2">
        <v>45909</v>
      </c>
      <c r="M1135" s="1" t="s">
        <v>8327</v>
      </c>
      <c r="N1135" s="1" t="s">
        <v>4343</v>
      </c>
    </row>
    <row r="1136" spans="1:14" x14ac:dyDescent="0.35">
      <c r="A1136" s="1" t="s">
        <v>4321</v>
      </c>
      <c r="B1136" s="3" t="s">
        <v>2987</v>
      </c>
      <c r="C1136" s="1" t="s">
        <v>8326</v>
      </c>
      <c r="D1136" s="1" t="s">
        <v>8325</v>
      </c>
      <c r="E1136" s="1" t="str">
        <f>"2320"</f>
        <v>2320</v>
      </c>
      <c r="F1136" s="1" t="str">
        <f>"014436878"</f>
        <v>014436878</v>
      </c>
      <c r="G1136" s="1" t="s">
        <v>1799</v>
      </c>
      <c r="H1136" s="1" t="s">
        <v>15</v>
      </c>
      <c r="I1136" s="3" t="str">
        <f>"1"</f>
        <v>1</v>
      </c>
      <c r="J1136" s="3" t="str">
        <f>"24447"</f>
        <v>24447</v>
      </c>
      <c r="K1136" s="2">
        <v>45908</v>
      </c>
      <c r="L1136" s="2">
        <v>45909</v>
      </c>
      <c r="M1136" s="1" t="s">
        <v>8324</v>
      </c>
      <c r="N1136" s="1" t="s">
        <v>4343</v>
      </c>
    </row>
    <row r="1137" spans="1:14" x14ac:dyDescent="0.35">
      <c r="A1137" s="1" t="s">
        <v>4321</v>
      </c>
      <c r="B1137" s="3" t="s">
        <v>806</v>
      </c>
      <c r="C1137" s="1" t="s">
        <v>870</v>
      </c>
      <c r="D1137" s="1" t="s">
        <v>8323</v>
      </c>
      <c r="E1137" s="1" t="str">
        <f>"4110"</f>
        <v>4110</v>
      </c>
      <c r="F1137" s="1" t="s">
        <v>8320</v>
      </c>
      <c r="G1137" s="1" t="s">
        <v>8319</v>
      </c>
      <c r="H1137" s="1" t="s">
        <v>15</v>
      </c>
      <c r="I1137" s="3" t="str">
        <f>"1"</f>
        <v>1</v>
      </c>
      <c r="J1137" s="3">
        <v>475.36</v>
      </c>
      <c r="K1137" s="2">
        <v>45908</v>
      </c>
      <c r="L1137" s="2">
        <v>45909</v>
      </c>
      <c r="M1137" s="1" t="s">
        <v>8318</v>
      </c>
      <c r="N1137" s="1" t="s">
        <v>8322</v>
      </c>
    </row>
    <row r="1138" spans="1:14" x14ac:dyDescent="0.35">
      <c r="A1138" s="1" t="s">
        <v>4321</v>
      </c>
      <c r="B1138" s="3" t="s">
        <v>806</v>
      </c>
      <c r="C1138" s="1" t="s">
        <v>870</v>
      </c>
      <c r="D1138" s="1" t="s">
        <v>8321</v>
      </c>
      <c r="E1138" s="1" t="str">
        <f>"4110"</f>
        <v>4110</v>
      </c>
      <c r="F1138" s="1" t="s">
        <v>8320</v>
      </c>
      <c r="G1138" s="1" t="s">
        <v>8319</v>
      </c>
      <c r="H1138" s="1" t="s">
        <v>15</v>
      </c>
      <c r="I1138" s="3" t="str">
        <f>"1"</f>
        <v>1</v>
      </c>
      <c r="J1138" s="3">
        <v>487.93</v>
      </c>
      <c r="K1138" s="2">
        <v>45908</v>
      </c>
      <c r="L1138" s="2">
        <v>45909</v>
      </c>
      <c r="M1138" s="1" t="s">
        <v>8318</v>
      </c>
      <c r="N1138" s="1" t="s">
        <v>8317</v>
      </c>
    </row>
    <row r="1139" spans="1:14" x14ac:dyDescent="0.35">
      <c r="A1139" s="1" t="s">
        <v>4321</v>
      </c>
      <c r="B1139" s="3" t="s">
        <v>2114</v>
      </c>
      <c r="C1139" s="1" t="s">
        <v>2138</v>
      </c>
      <c r="D1139" s="1" t="s">
        <v>8316</v>
      </c>
      <c r="E1139" s="1" t="str">
        <f>"5855"</f>
        <v>5855</v>
      </c>
      <c r="F1139" s="1" t="str">
        <f>"015531162"</f>
        <v>015531162</v>
      </c>
      <c r="G1139" s="1" t="s">
        <v>5611</v>
      </c>
      <c r="H1139" s="1" t="s">
        <v>15</v>
      </c>
      <c r="I1139" s="3" t="str">
        <f>"27"</f>
        <v>27</v>
      </c>
      <c r="J1139" s="3">
        <v>9225.27</v>
      </c>
      <c r="K1139" s="2">
        <v>45908</v>
      </c>
      <c r="L1139" s="2">
        <v>45909</v>
      </c>
      <c r="M1139" s="1" t="s">
        <v>8315</v>
      </c>
      <c r="N1139" s="1" t="s">
        <v>4343</v>
      </c>
    </row>
    <row r="1140" spans="1:14" x14ac:dyDescent="0.35">
      <c r="A1140" s="1" t="s">
        <v>4321</v>
      </c>
      <c r="B1140" s="3" t="s">
        <v>1699</v>
      </c>
      <c r="C1140" s="1" t="s">
        <v>8314</v>
      </c>
      <c r="D1140" s="1" t="s">
        <v>8313</v>
      </c>
      <c r="E1140" s="1" t="str">
        <f>"2320"</f>
        <v>2320</v>
      </c>
      <c r="F1140" s="1" t="str">
        <f>"014436878"</f>
        <v>014436878</v>
      </c>
      <c r="G1140" s="1" t="s">
        <v>1799</v>
      </c>
      <c r="H1140" s="1" t="s">
        <v>15</v>
      </c>
      <c r="I1140" s="3" t="str">
        <f>"1"</f>
        <v>1</v>
      </c>
      <c r="J1140" s="3" t="str">
        <f>"24447"</f>
        <v>24447</v>
      </c>
      <c r="K1140" s="2">
        <v>45908</v>
      </c>
      <c r="L1140" s="2">
        <v>45909</v>
      </c>
      <c r="M1140" s="1" t="s">
        <v>8312</v>
      </c>
      <c r="N1140" s="1" t="s">
        <v>4343</v>
      </c>
    </row>
    <row r="1141" spans="1:14" x14ac:dyDescent="0.35">
      <c r="A1141" s="1" t="s">
        <v>4321</v>
      </c>
      <c r="B1141" s="3" t="s">
        <v>1844</v>
      </c>
      <c r="C1141" s="1" t="s">
        <v>7839</v>
      </c>
      <c r="D1141" s="1" t="s">
        <v>8311</v>
      </c>
      <c r="E1141" s="1" t="str">
        <f>"5855"</f>
        <v>5855</v>
      </c>
      <c r="F1141" s="1" t="str">
        <f>"015531162"</f>
        <v>015531162</v>
      </c>
      <c r="G1141" s="1" t="s">
        <v>5611</v>
      </c>
      <c r="H1141" s="1" t="s">
        <v>15</v>
      </c>
      <c r="I1141" s="3" t="str">
        <f>"3"</f>
        <v>3</v>
      </c>
      <c r="J1141" s="3">
        <v>9225.27</v>
      </c>
      <c r="K1141" s="2">
        <v>45908</v>
      </c>
      <c r="L1141" s="2">
        <v>45909</v>
      </c>
      <c r="M1141" s="1" t="s">
        <v>8310</v>
      </c>
      <c r="N1141" s="1" t="s">
        <v>4343</v>
      </c>
    </row>
    <row r="1142" spans="1:14" x14ac:dyDescent="0.35">
      <c r="A1142" s="1" t="s">
        <v>4321</v>
      </c>
      <c r="B1142" s="3" t="s">
        <v>3183</v>
      </c>
      <c r="C1142" s="1" t="s">
        <v>3184</v>
      </c>
      <c r="D1142" s="1" t="s">
        <v>8309</v>
      </c>
      <c r="E1142" s="1" t="str">
        <f>"8150"</f>
        <v>8150</v>
      </c>
      <c r="F1142" s="1" t="str">
        <f>"015338673"</f>
        <v>015338673</v>
      </c>
      <c r="G1142" s="1" t="s">
        <v>8308</v>
      </c>
      <c r="H1142" s="1" t="s">
        <v>15</v>
      </c>
      <c r="I1142" s="3" t="str">
        <f>"2"</f>
        <v>2</v>
      </c>
      <c r="J1142" s="3">
        <v>7327.98</v>
      </c>
      <c r="K1142" s="2">
        <v>45906</v>
      </c>
      <c r="L1142" s="2">
        <v>45909</v>
      </c>
      <c r="M1142" s="1" t="s">
        <v>8307</v>
      </c>
      <c r="N1142" s="1" t="s">
        <v>4343</v>
      </c>
    </row>
    <row r="1143" spans="1:14" x14ac:dyDescent="0.35">
      <c r="A1143" s="1" t="s">
        <v>4321</v>
      </c>
      <c r="B1143" s="3" t="s">
        <v>4253</v>
      </c>
      <c r="C1143" s="1" t="s">
        <v>4268</v>
      </c>
      <c r="D1143" s="1" t="s">
        <v>8306</v>
      </c>
      <c r="E1143" s="1" t="str">
        <f>"2310"</f>
        <v>2310</v>
      </c>
      <c r="F1143" s="1" t="str">
        <f>"016231545"</f>
        <v>016231545</v>
      </c>
      <c r="G1143" s="1" t="s">
        <v>3156</v>
      </c>
      <c r="H1143" s="1" t="s">
        <v>15</v>
      </c>
      <c r="I1143" s="3" t="str">
        <f>"1"</f>
        <v>1</v>
      </c>
      <c r="J1143" s="3" t="str">
        <f>"32000"</f>
        <v>32000</v>
      </c>
      <c r="K1143" s="2">
        <v>45906</v>
      </c>
      <c r="L1143" s="2">
        <v>45909</v>
      </c>
      <c r="M1143" s="1" t="s">
        <v>4270</v>
      </c>
      <c r="N1143" s="1" t="s">
        <v>8305</v>
      </c>
    </row>
    <row r="1144" spans="1:14" x14ac:dyDescent="0.35">
      <c r="A1144" s="1" t="s">
        <v>4321</v>
      </c>
      <c r="B1144" s="3" t="s">
        <v>2720</v>
      </c>
      <c r="C1144" s="1" t="s">
        <v>2770</v>
      </c>
      <c r="D1144" s="1" t="s">
        <v>8304</v>
      </c>
      <c r="E1144" s="1" t="str">
        <f>"2310"</f>
        <v>2310</v>
      </c>
      <c r="F1144" s="1" t="str">
        <f>"016231545"</f>
        <v>016231545</v>
      </c>
      <c r="G1144" s="1" t="s">
        <v>3156</v>
      </c>
      <c r="H1144" s="1" t="s">
        <v>15</v>
      </c>
      <c r="I1144" s="3" t="str">
        <f>"1"</f>
        <v>1</v>
      </c>
      <c r="J1144" s="3" t="str">
        <f>"32000"</f>
        <v>32000</v>
      </c>
      <c r="K1144" s="2">
        <v>45906</v>
      </c>
      <c r="L1144" s="2">
        <v>45909</v>
      </c>
      <c r="M1144" s="1" t="s">
        <v>8303</v>
      </c>
      <c r="N1144" s="1" t="s">
        <v>4343</v>
      </c>
    </row>
    <row r="1145" spans="1:14" x14ac:dyDescent="0.35">
      <c r="A1145" s="1" t="s">
        <v>4321</v>
      </c>
      <c r="B1145" s="3" t="s">
        <v>3183</v>
      </c>
      <c r="C1145" s="1" t="s">
        <v>3256</v>
      </c>
      <c r="D1145" s="1" t="s">
        <v>8302</v>
      </c>
      <c r="E1145" s="1" t="str">
        <f>"4240"</f>
        <v>4240</v>
      </c>
      <c r="F1145" s="1" t="s">
        <v>1105</v>
      </c>
      <c r="G1145" s="1" t="s">
        <v>1106</v>
      </c>
      <c r="H1145" s="1" t="s">
        <v>15</v>
      </c>
      <c r="I1145" s="3" t="str">
        <f>"1"</f>
        <v>1</v>
      </c>
      <c r="J1145" s="3" t="str">
        <f>"100"</f>
        <v>100</v>
      </c>
      <c r="K1145" s="2">
        <v>45906</v>
      </c>
      <c r="L1145" s="2">
        <v>45909</v>
      </c>
      <c r="M1145" s="1" t="s">
        <v>8301</v>
      </c>
      <c r="N1145" s="1" t="s">
        <v>4343</v>
      </c>
    </row>
    <row r="1146" spans="1:14" x14ac:dyDescent="0.35">
      <c r="A1146" s="1" t="s">
        <v>4321</v>
      </c>
      <c r="B1146" s="3" t="s">
        <v>3183</v>
      </c>
      <c r="C1146" s="1" t="s">
        <v>3256</v>
      </c>
      <c r="D1146" s="1" t="s">
        <v>8300</v>
      </c>
      <c r="E1146" s="1" t="str">
        <f>"8340"</f>
        <v>8340</v>
      </c>
      <c r="F1146" s="1" t="str">
        <f>"015331668"</f>
        <v>015331668</v>
      </c>
      <c r="G1146" s="1" t="s">
        <v>957</v>
      </c>
      <c r="H1146" s="1" t="s">
        <v>15</v>
      </c>
      <c r="I1146" s="3" t="str">
        <f>"1"</f>
        <v>1</v>
      </c>
      <c r="J1146" s="3">
        <v>19128.68</v>
      </c>
      <c r="K1146" s="2">
        <v>45906</v>
      </c>
      <c r="L1146" s="2">
        <v>45909</v>
      </c>
      <c r="M1146" s="1" t="s">
        <v>8299</v>
      </c>
      <c r="N1146" s="1" t="s">
        <v>4343</v>
      </c>
    </row>
    <row r="1147" spans="1:14" x14ac:dyDescent="0.35">
      <c r="A1147" s="1" t="s">
        <v>4321</v>
      </c>
      <c r="B1147" s="3" t="s">
        <v>1848</v>
      </c>
      <c r="C1147" s="1" t="s">
        <v>1849</v>
      </c>
      <c r="D1147" s="1" t="s">
        <v>8298</v>
      </c>
      <c r="E1147" s="1" t="str">
        <f>"7490"</f>
        <v>7490</v>
      </c>
      <c r="F1147" s="1" t="str">
        <f>"014777790"</f>
        <v>014777790</v>
      </c>
      <c r="G1147" s="1" t="s">
        <v>8295</v>
      </c>
      <c r="H1147" s="1" t="s">
        <v>15</v>
      </c>
      <c r="I1147" s="3" t="str">
        <f>"3"</f>
        <v>3</v>
      </c>
      <c r="J1147" s="3">
        <v>55.9</v>
      </c>
      <c r="K1147" s="2">
        <v>45906</v>
      </c>
      <c r="L1147" s="2">
        <v>45909</v>
      </c>
      <c r="M1147" s="1" t="s">
        <v>8297</v>
      </c>
      <c r="N1147" s="1" t="s">
        <v>4343</v>
      </c>
    </row>
    <row r="1148" spans="1:14" x14ac:dyDescent="0.35">
      <c r="A1148" s="1" t="s">
        <v>4321</v>
      </c>
      <c r="B1148" s="3" t="s">
        <v>4087</v>
      </c>
      <c r="C1148" s="1" t="s">
        <v>4143</v>
      </c>
      <c r="D1148" s="1" t="s">
        <v>8296</v>
      </c>
      <c r="E1148" s="1" t="str">
        <f>"7490"</f>
        <v>7490</v>
      </c>
      <c r="F1148" s="1" t="str">
        <f>"014777790"</f>
        <v>014777790</v>
      </c>
      <c r="G1148" s="1" t="s">
        <v>8295</v>
      </c>
      <c r="H1148" s="1" t="s">
        <v>15</v>
      </c>
      <c r="I1148" s="3" t="str">
        <f>"1"</f>
        <v>1</v>
      </c>
      <c r="J1148" s="3">
        <v>55.9</v>
      </c>
      <c r="K1148" s="2">
        <v>45906</v>
      </c>
      <c r="L1148" s="2">
        <v>45909</v>
      </c>
      <c r="M1148" s="1" t="s">
        <v>8294</v>
      </c>
      <c r="N1148" s="1" t="s">
        <v>8293</v>
      </c>
    </row>
    <row r="1149" spans="1:14" x14ac:dyDescent="0.35">
      <c r="A1149" s="1" t="s">
        <v>4321</v>
      </c>
      <c r="B1149" s="3" t="s">
        <v>3183</v>
      </c>
      <c r="C1149" s="1" t="s">
        <v>8292</v>
      </c>
      <c r="D1149" s="1" t="s">
        <v>8291</v>
      </c>
      <c r="E1149" s="1" t="str">
        <f>"2310"</f>
        <v>2310</v>
      </c>
      <c r="F1149" s="1" t="str">
        <f>"016231545"</f>
        <v>016231545</v>
      </c>
      <c r="G1149" s="1" t="s">
        <v>3156</v>
      </c>
      <c r="H1149" s="1" t="s">
        <v>15</v>
      </c>
      <c r="I1149" s="3" t="str">
        <f>"1"</f>
        <v>1</v>
      </c>
      <c r="J1149" s="3" t="str">
        <f>"32000"</f>
        <v>32000</v>
      </c>
      <c r="K1149" s="2">
        <v>45906</v>
      </c>
      <c r="L1149" s="2">
        <v>45909</v>
      </c>
      <c r="M1149" s="1" t="s">
        <v>8290</v>
      </c>
      <c r="N1149" s="1" t="s">
        <v>4343</v>
      </c>
    </row>
    <row r="1150" spans="1:14" x14ac:dyDescent="0.35">
      <c r="A1150" s="1" t="s">
        <v>4321</v>
      </c>
      <c r="B1150" s="3" t="s">
        <v>1445</v>
      </c>
      <c r="C1150" s="1" t="s">
        <v>1459</v>
      </c>
      <c r="D1150" s="1" t="s">
        <v>8289</v>
      </c>
      <c r="E1150" s="1" t="str">
        <f>"4240"</f>
        <v>4240</v>
      </c>
      <c r="F1150" s="1" t="str">
        <f>"016875341"</f>
        <v>016875341</v>
      </c>
      <c r="G1150" s="1" t="s">
        <v>8283</v>
      </c>
      <c r="H1150" s="1" t="s">
        <v>15</v>
      </c>
      <c r="I1150" s="3" t="str">
        <f>"1"</f>
        <v>1</v>
      </c>
      <c r="J1150" s="3" t="str">
        <f>"140"</f>
        <v>140</v>
      </c>
      <c r="K1150" s="2">
        <v>45904</v>
      </c>
      <c r="L1150" s="2">
        <v>45909</v>
      </c>
      <c r="M1150" s="1" t="s">
        <v>8282</v>
      </c>
      <c r="N1150" s="1" t="s">
        <v>4343</v>
      </c>
    </row>
    <row r="1151" spans="1:14" x14ac:dyDescent="0.35">
      <c r="A1151" s="1" t="s">
        <v>4321</v>
      </c>
      <c r="B1151" s="3" t="s">
        <v>1445</v>
      </c>
      <c r="C1151" s="1" t="s">
        <v>1459</v>
      </c>
      <c r="D1151" s="1" t="s">
        <v>8288</v>
      </c>
      <c r="E1151" s="1" t="str">
        <f>"4240"</f>
        <v>4240</v>
      </c>
      <c r="F1151" s="1" t="str">
        <f>"016875341"</f>
        <v>016875341</v>
      </c>
      <c r="G1151" s="1" t="s">
        <v>8283</v>
      </c>
      <c r="H1151" s="1" t="s">
        <v>15</v>
      </c>
      <c r="I1151" s="3" t="str">
        <f>"1"</f>
        <v>1</v>
      </c>
      <c r="J1151" s="3" t="str">
        <f>"140"</f>
        <v>140</v>
      </c>
      <c r="K1151" s="2">
        <v>45904</v>
      </c>
      <c r="L1151" s="2">
        <v>45909</v>
      </c>
      <c r="M1151" s="1" t="s">
        <v>8282</v>
      </c>
      <c r="N1151" s="1" t="s">
        <v>4343</v>
      </c>
    </row>
    <row r="1152" spans="1:14" x14ac:dyDescent="0.35">
      <c r="A1152" s="1" t="s">
        <v>4321</v>
      </c>
      <c r="B1152" s="3" t="s">
        <v>1445</v>
      </c>
      <c r="C1152" s="1" t="s">
        <v>1459</v>
      </c>
      <c r="D1152" s="1" t="s">
        <v>8287</v>
      </c>
      <c r="E1152" s="1" t="str">
        <f>"4240"</f>
        <v>4240</v>
      </c>
      <c r="F1152" s="1" t="str">
        <f>"016875341"</f>
        <v>016875341</v>
      </c>
      <c r="G1152" s="1" t="s">
        <v>8283</v>
      </c>
      <c r="H1152" s="1" t="s">
        <v>15</v>
      </c>
      <c r="I1152" s="3" t="str">
        <f>"1"</f>
        <v>1</v>
      </c>
      <c r="J1152" s="3" t="str">
        <f>"140"</f>
        <v>140</v>
      </c>
      <c r="K1152" s="2">
        <v>45904</v>
      </c>
      <c r="L1152" s="2">
        <v>45909</v>
      </c>
      <c r="M1152" s="1" t="s">
        <v>8282</v>
      </c>
      <c r="N1152" s="1" t="s">
        <v>4343</v>
      </c>
    </row>
    <row r="1153" spans="1:14" x14ac:dyDescent="0.35">
      <c r="A1153" s="1" t="s">
        <v>4321</v>
      </c>
      <c r="B1153" s="3" t="s">
        <v>1445</v>
      </c>
      <c r="C1153" s="1" t="s">
        <v>1459</v>
      </c>
      <c r="D1153" s="1" t="s">
        <v>8286</v>
      </c>
      <c r="E1153" s="1" t="str">
        <f>"4240"</f>
        <v>4240</v>
      </c>
      <c r="F1153" s="1" t="str">
        <f>"016875341"</f>
        <v>016875341</v>
      </c>
      <c r="G1153" s="1" t="s">
        <v>8283</v>
      </c>
      <c r="H1153" s="1" t="s">
        <v>15</v>
      </c>
      <c r="I1153" s="3" t="str">
        <f>"1"</f>
        <v>1</v>
      </c>
      <c r="J1153" s="3" t="str">
        <f>"140"</f>
        <v>140</v>
      </c>
      <c r="K1153" s="2">
        <v>45904</v>
      </c>
      <c r="L1153" s="2">
        <v>45909</v>
      </c>
      <c r="M1153" s="1" t="s">
        <v>8282</v>
      </c>
      <c r="N1153" s="1" t="s">
        <v>4343</v>
      </c>
    </row>
    <row r="1154" spans="1:14" x14ac:dyDescent="0.35">
      <c r="A1154" s="1" t="s">
        <v>4321</v>
      </c>
      <c r="B1154" s="3" t="s">
        <v>1445</v>
      </c>
      <c r="C1154" s="1" t="s">
        <v>1459</v>
      </c>
      <c r="D1154" s="1" t="s">
        <v>8285</v>
      </c>
      <c r="E1154" s="1" t="str">
        <f>"4240"</f>
        <v>4240</v>
      </c>
      <c r="F1154" s="1" t="str">
        <f>"016875341"</f>
        <v>016875341</v>
      </c>
      <c r="G1154" s="1" t="s">
        <v>8283</v>
      </c>
      <c r="H1154" s="1" t="s">
        <v>15</v>
      </c>
      <c r="I1154" s="3" t="str">
        <f>"1"</f>
        <v>1</v>
      </c>
      <c r="J1154" s="3" t="str">
        <f>"140"</f>
        <v>140</v>
      </c>
      <c r="K1154" s="2">
        <v>45904</v>
      </c>
      <c r="L1154" s="2">
        <v>45909</v>
      </c>
      <c r="M1154" s="1" t="s">
        <v>8282</v>
      </c>
      <c r="N1154" s="1" t="s">
        <v>4343</v>
      </c>
    </row>
    <row r="1155" spans="1:14" x14ac:dyDescent="0.35">
      <c r="A1155" s="1" t="s">
        <v>4321</v>
      </c>
      <c r="B1155" s="3" t="s">
        <v>1445</v>
      </c>
      <c r="C1155" s="1" t="s">
        <v>1459</v>
      </c>
      <c r="D1155" s="1" t="s">
        <v>8284</v>
      </c>
      <c r="E1155" s="1" t="str">
        <f>"4240"</f>
        <v>4240</v>
      </c>
      <c r="F1155" s="1" t="str">
        <f>"016875341"</f>
        <v>016875341</v>
      </c>
      <c r="G1155" s="1" t="s">
        <v>8283</v>
      </c>
      <c r="H1155" s="1" t="s">
        <v>15</v>
      </c>
      <c r="I1155" s="3" t="str">
        <f>"1"</f>
        <v>1</v>
      </c>
      <c r="J1155" s="3" t="str">
        <f>"140"</f>
        <v>140</v>
      </c>
      <c r="K1155" s="2">
        <v>45904</v>
      </c>
      <c r="L1155" s="2">
        <v>45909</v>
      </c>
      <c r="M1155" s="1" t="s">
        <v>8282</v>
      </c>
      <c r="N1155" s="1" t="s">
        <v>4343</v>
      </c>
    </row>
    <row r="1156" spans="1:14" x14ac:dyDescent="0.35">
      <c r="A1156" s="1" t="s">
        <v>4321</v>
      </c>
      <c r="B1156" s="3" t="s">
        <v>3879</v>
      </c>
      <c r="C1156" s="1" t="s">
        <v>8281</v>
      </c>
      <c r="D1156" s="1" t="s">
        <v>8280</v>
      </c>
      <c r="E1156" s="1" t="str">
        <f>"5855"</f>
        <v>5855</v>
      </c>
      <c r="F1156" s="1" t="str">
        <f>"015330555"</f>
        <v>015330555</v>
      </c>
      <c r="G1156" s="1" t="s">
        <v>2656</v>
      </c>
      <c r="H1156" s="1" t="s">
        <v>15</v>
      </c>
      <c r="I1156" s="3" t="str">
        <f>"13"</f>
        <v>13</v>
      </c>
      <c r="J1156" s="3" t="str">
        <f>"1800"</f>
        <v>1800</v>
      </c>
      <c r="K1156" s="2">
        <v>45902</v>
      </c>
      <c r="L1156" s="2">
        <v>45909</v>
      </c>
      <c r="M1156" s="1" t="s">
        <v>8279</v>
      </c>
      <c r="N1156" s="1" t="s">
        <v>8278</v>
      </c>
    </row>
    <row r="1157" spans="1:14" x14ac:dyDescent="0.35">
      <c r="A1157" s="1" t="s">
        <v>4321</v>
      </c>
      <c r="B1157" s="3" t="s">
        <v>1848</v>
      </c>
      <c r="C1157" s="1" t="s">
        <v>1849</v>
      </c>
      <c r="D1157" s="1" t="s">
        <v>8277</v>
      </c>
      <c r="E1157" s="1" t="str">
        <f>"5140"</f>
        <v>5140</v>
      </c>
      <c r="F1157" s="1" t="s">
        <v>161</v>
      </c>
      <c r="G1157" s="1" t="s">
        <v>162</v>
      </c>
      <c r="H1157" s="1" t="s">
        <v>15</v>
      </c>
      <c r="I1157" s="3" t="str">
        <f>"1"</f>
        <v>1</v>
      </c>
      <c r="J1157" s="3" t="str">
        <f>"500"</f>
        <v>500</v>
      </c>
      <c r="K1157" s="2">
        <v>45899</v>
      </c>
      <c r="L1157" s="2">
        <v>45909</v>
      </c>
      <c r="M1157" s="1" t="s">
        <v>8276</v>
      </c>
      <c r="N1157" s="1" t="s">
        <v>8275</v>
      </c>
    </row>
    <row r="1158" spans="1:14" x14ac:dyDescent="0.35">
      <c r="A1158" s="1" t="s">
        <v>4321</v>
      </c>
      <c r="B1158" s="3" t="s">
        <v>806</v>
      </c>
      <c r="C1158" s="1" t="s">
        <v>1079</v>
      </c>
      <c r="D1158" s="1" t="s">
        <v>8274</v>
      </c>
      <c r="E1158" s="1" t="str">
        <f>"3920"</f>
        <v>3920</v>
      </c>
      <c r="F1158" s="1" t="s">
        <v>8273</v>
      </c>
      <c r="G1158" s="1" t="s">
        <v>8272</v>
      </c>
      <c r="H1158" s="1" t="s">
        <v>15</v>
      </c>
      <c r="I1158" s="3" t="str">
        <f>"1"</f>
        <v>1</v>
      </c>
      <c r="J1158" s="3" t="str">
        <f>"150"</f>
        <v>150</v>
      </c>
      <c r="K1158" s="2">
        <v>45892</v>
      </c>
      <c r="L1158" s="2">
        <v>45909</v>
      </c>
      <c r="M1158" s="1" t="s">
        <v>8271</v>
      </c>
      <c r="N1158" s="1" t="s">
        <v>8270</v>
      </c>
    </row>
    <row r="1159" spans="1:14" x14ac:dyDescent="0.35">
      <c r="A1159" s="1" t="s">
        <v>4321</v>
      </c>
      <c r="B1159" s="3" t="s">
        <v>93</v>
      </c>
      <c r="C1159" s="1" t="s">
        <v>7811</v>
      </c>
      <c r="D1159" s="1" t="s">
        <v>8269</v>
      </c>
      <c r="E1159" s="1" t="str">
        <f>"2410"</f>
        <v>2410</v>
      </c>
      <c r="F1159" s="1" t="str">
        <f>"012237261"</f>
        <v>012237261</v>
      </c>
      <c r="G1159" s="1" t="s">
        <v>2233</v>
      </c>
      <c r="H1159" s="1" t="s">
        <v>15</v>
      </c>
      <c r="I1159" s="3" t="str">
        <f>"1"</f>
        <v>1</v>
      </c>
      <c r="J1159" s="3" t="str">
        <f>"90375"</f>
        <v>90375</v>
      </c>
      <c r="K1159" s="2">
        <v>45890</v>
      </c>
      <c r="L1159" s="2">
        <v>45909</v>
      </c>
      <c r="M1159" s="1" t="s">
        <v>8268</v>
      </c>
      <c r="N1159" s="1" t="s">
        <v>8267</v>
      </c>
    </row>
    <row r="1160" spans="1:14" x14ac:dyDescent="0.35">
      <c r="A1160" s="1" t="s">
        <v>4321</v>
      </c>
      <c r="B1160" s="3" t="s">
        <v>1699</v>
      </c>
      <c r="C1160" s="1" t="s">
        <v>1704</v>
      </c>
      <c r="D1160" s="1" t="s">
        <v>8266</v>
      </c>
      <c r="E1160" s="1" t="str">
        <f>"1560"</f>
        <v>1560</v>
      </c>
      <c r="F1160" s="1" t="s">
        <v>8263</v>
      </c>
      <c r="G1160" s="1" t="s">
        <v>8262</v>
      </c>
      <c r="H1160" s="1" t="s">
        <v>15</v>
      </c>
      <c r="I1160" s="3" t="str">
        <f>"1"</f>
        <v>1</v>
      </c>
      <c r="J1160" s="3" t="str">
        <f>"173044"</f>
        <v>173044</v>
      </c>
      <c r="K1160" s="2">
        <v>45888</v>
      </c>
      <c r="L1160" s="2">
        <v>45909</v>
      </c>
      <c r="M1160" s="1" t="s">
        <v>7909</v>
      </c>
      <c r="N1160" s="1" t="s">
        <v>8265</v>
      </c>
    </row>
    <row r="1161" spans="1:14" x14ac:dyDescent="0.35">
      <c r="A1161" s="1" t="s">
        <v>4321</v>
      </c>
      <c r="B1161" s="3" t="s">
        <v>1699</v>
      </c>
      <c r="C1161" s="1" t="s">
        <v>1704</v>
      </c>
      <c r="D1161" s="1" t="s">
        <v>8264</v>
      </c>
      <c r="E1161" s="1" t="str">
        <f>"1560"</f>
        <v>1560</v>
      </c>
      <c r="F1161" s="1" t="s">
        <v>8263</v>
      </c>
      <c r="G1161" s="1" t="s">
        <v>8262</v>
      </c>
      <c r="H1161" s="1" t="s">
        <v>15</v>
      </c>
      <c r="I1161" s="3" t="str">
        <f>"1"</f>
        <v>1</v>
      </c>
      <c r="J1161" s="3">
        <v>170710.88</v>
      </c>
      <c r="K1161" s="2">
        <v>45887</v>
      </c>
      <c r="L1161" s="2">
        <v>45909</v>
      </c>
      <c r="M1161" s="1" t="s">
        <v>7909</v>
      </c>
      <c r="N1161" s="1" t="s">
        <v>8261</v>
      </c>
    </row>
    <row r="1162" spans="1:14" x14ac:dyDescent="0.35">
      <c r="A1162" s="1" t="s">
        <v>4321</v>
      </c>
      <c r="B1162" s="3" t="s">
        <v>93</v>
      </c>
      <c r="C1162" s="1" t="s">
        <v>109</v>
      </c>
      <c r="D1162" s="1" t="s">
        <v>8260</v>
      </c>
      <c r="E1162" s="1" t="str">
        <f>"2320"</f>
        <v>2320</v>
      </c>
      <c r="F1162" s="1" t="str">
        <f>"011274800"</f>
        <v>011274800</v>
      </c>
      <c r="G1162" s="1" t="s">
        <v>373</v>
      </c>
      <c r="H1162" s="1" t="s">
        <v>15</v>
      </c>
      <c r="I1162" s="3" t="str">
        <f>"1"</f>
        <v>1</v>
      </c>
      <c r="J1162" s="3" t="str">
        <f>"7895"</f>
        <v>7895</v>
      </c>
      <c r="K1162" s="2">
        <v>45880</v>
      </c>
      <c r="L1162" s="2">
        <v>45909</v>
      </c>
      <c r="M1162" s="1" t="s">
        <v>8259</v>
      </c>
      <c r="N1162" s="1" t="s">
        <v>8258</v>
      </c>
    </row>
    <row r="1163" spans="1:14" x14ac:dyDescent="0.35">
      <c r="A1163" s="1" t="s">
        <v>4321</v>
      </c>
      <c r="B1163" s="3" t="s">
        <v>3105</v>
      </c>
      <c r="C1163" s="1" t="s">
        <v>4877</v>
      </c>
      <c r="D1163" s="1" t="s">
        <v>8257</v>
      </c>
      <c r="E1163" s="1" t="str">
        <f>"2320"</f>
        <v>2320</v>
      </c>
      <c r="F1163" s="1" t="s">
        <v>321</v>
      </c>
      <c r="G1163" s="1" t="s">
        <v>322</v>
      </c>
      <c r="H1163" s="1" t="s">
        <v>15</v>
      </c>
      <c r="I1163" s="3" t="str">
        <f>"1"</f>
        <v>1</v>
      </c>
      <c r="J1163" s="3">
        <v>22164.45</v>
      </c>
      <c r="K1163" s="2">
        <v>45871</v>
      </c>
      <c r="L1163" s="2">
        <v>45909</v>
      </c>
      <c r="M1163" s="1" t="s">
        <v>8256</v>
      </c>
      <c r="N1163" s="1" t="s">
        <v>8255</v>
      </c>
    </row>
    <row r="1164" spans="1:14" x14ac:dyDescent="0.35">
      <c r="A1164" s="1" t="s">
        <v>4321</v>
      </c>
      <c r="B1164" s="3" t="s">
        <v>93</v>
      </c>
      <c r="C1164" s="1" t="s">
        <v>450</v>
      </c>
      <c r="D1164" s="1" t="s">
        <v>8254</v>
      </c>
      <c r="E1164" s="1" t="str">
        <f>"2330"</f>
        <v>2330</v>
      </c>
      <c r="F1164" s="1" t="str">
        <f>"016325212"</f>
        <v>016325212</v>
      </c>
      <c r="G1164" s="1" t="s">
        <v>465</v>
      </c>
      <c r="H1164" s="1" t="s">
        <v>15</v>
      </c>
      <c r="I1164" s="3" t="str">
        <f>"1"</f>
        <v>1</v>
      </c>
      <c r="J1164" s="3" t="str">
        <f>"80427"</f>
        <v>80427</v>
      </c>
      <c r="K1164" s="2">
        <v>45869</v>
      </c>
      <c r="L1164" s="2">
        <v>45909</v>
      </c>
      <c r="M1164" s="1" t="s">
        <v>466</v>
      </c>
      <c r="N1164" s="1" t="s">
        <v>8253</v>
      </c>
    </row>
    <row r="1165" spans="1:14" x14ac:dyDescent="0.35">
      <c r="A1165" s="1" t="s">
        <v>4321</v>
      </c>
      <c r="B1165" s="3" t="s">
        <v>3513</v>
      </c>
      <c r="C1165" s="1" t="s">
        <v>3801</v>
      </c>
      <c r="D1165" s="1" t="s">
        <v>8252</v>
      </c>
      <c r="E1165" s="1" t="str">
        <f>"8340"</f>
        <v>8340</v>
      </c>
      <c r="F1165" s="1" t="str">
        <f>"015331697"</f>
        <v>015331697</v>
      </c>
      <c r="G1165" s="1" t="s">
        <v>8251</v>
      </c>
      <c r="H1165" s="1" t="s">
        <v>15</v>
      </c>
      <c r="I1165" s="3" t="str">
        <f>"2"</f>
        <v>2</v>
      </c>
      <c r="J1165" s="3">
        <v>133477.68</v>
      </c>
      <c r="K1165" s="2">
        <v>45907</v>
      </c>
      <c r="L1165" s="2">
        <v>45908</v>
      </c>
      <c r="M1165" s="1" t="s">
        <v>8250</v>
      </c>
      <c r="N1165" s="1" t="s">
        <v>8249</v>
      </c>
    </row>
    <row r="1166" spans="1:14" x14ac:dyDescent="0.35">
      <c r="A1166" s="1" t="s">
        <v>4321</v>
      </c>
      <c r="B1166" s="3" t="s">
        <v>3513</v>
      </c>
      <c r="C1166" s="1" t="s">
        <v>3801</v>
      </c>
      <c r="D1166" s="1" t="s">
        <v>8252</v>
      </c>
      <c r="E1166" s="1" t="str">
        <f>"8340"</f>
        <v>8340</v>
      </c>
      <c r="F1166" s="1" t="str">
        <f>"015331697"</f>
        <v>015331697</v>
      </c>
      <c r="G1166" s="1" t="s">
        <v>8251</v>
      </c>
      <c r="H1166" s="1" t="s">
        <v>15</v>
      </c>
      <c r="I1166" s="3" t="str">
        <f>"2"</f>
        <v>2</v>
      </c>
      <c r="J1166" s="3">
        <v>133477.68</v>
      </c>
      <c r="K1166" s="2">
        <v>45907</v>
      </c>
      <c r="L1166" s="2">
        <v>45908</v>
      </c>
      <c r="M1166" s="1" t="s">
        <v>8250</v>
      </c>
      <c r="N1166" s="1" t="s">
        <v>8249</v>
      </c>
    </row>
    <row r="1167" spans="1:14" x14ac:dyDescent="0.35">
      <c r="A1167" s="1" t="s">
        <v>4321</v>
      </c>
      <c r="B1167" s="3" t="s">
        <v>806</v>
      </c>
      <c r="C1167" s="1" t="s">
        <v>866</v>
      </c>
      <c r="D1167" s="1" t="s">
        <v>8248</v>
      </c>
      <c r="E1167" s="1" t="str">
        <f>"6230"</f>
        <v>6230</v>
      </c>
      <c r="F1167" s="1" t="s">
        <v>178</v>
      </c>
      <c r="G1167" s="1" t="s">
        <v>179</v>
      </c>
      <c r="H1167" s="1" t="s">
        <v>15</v>
      </c>
      <c r="I1167" s="3" t="str">
        <f>"43"</f>
        <v>43</v>
      </c>
      <c r="J1167" s="3">
        <v>84.1</v>
      </c>
      <c r="K1167" s="2">
        <v>45893</v>
      </c>
      <c r="L1167" s="2">
        <v>45908</v>
      </c>
      <c r="M1167" s="1" t="s">
        <v>7611</v>
      </c>
      <c r="N1167" s="1" t="s">
        <v>8247</v>
      </c>
    </row>
    <row r="1168" spans="1:14" x14ac:dyDescent="0.35">
      <c r="A1168" s="1" t="s">
        <v>4321</v>
      </c>
      <c r="B1168" s="3" t="s">
        <v>806</v>
      </c>
      <c r="C1168" s="1" t="s">
        <v>866</v>
      </c>
      <c r="D1168" s="1" t="s">
        <v>8246</v>
      </c>
      <c r="E1168" s="1" t="str">
        <f>"5965"</f>
        <v>5965</v>
      </c>
      <c r="F1168" s="1" t="s">
        <v>2530</v>
      </c>
      <c r="G1168" s="1" t="s">
        <v>2531</v>
      </c>
      <c r="H1168" s="1" t="s">
        <v>15</v>
      </c>
      <c r="I1168" s="3" t="str">
        <f>"30"</f>
        <v>30</v>
      </c>
      <c r="J1168" s="3" t="str">
        <f>"3500"</f>
        <v>3500</v>
      </c>
      <c r="K1168" s="2">
        <v>45893</v>
      </c>
      <c r="L1168" s="2">
        <v>45908</v>
      </c>
      <c r="M1168" s="1" t="s">
        <v>7609</v>
      </c>
      <c r="N1168" s="1" t="s">
        <v>8245</v>
      </c>
    </row>
    <row r="1169" spans="1:14" x14ac:dyDescent="0.35">
      <c r="A1169" s="1" t="s">
        <v>4321</v>
      </c>
      <c r="B1169" s="3" t="s">
        <v>2000</v>
      </c>
      <c r="C1169" s="1" t="s">
        <v>2065</v>
      </c>
      <c r="D1169" s="1" t="s">
        <v>8244</v>
      </c>
      <c r="E1169" s="1" t="str">
        <f>"5855"</f>
        <v>5855</v>
      </c>
      <c r="F1169" s="1" t="str">
        <f>"014502333"</f>
        <v>014502333</v>
      </c>
      <c r="G1169" s="1" t="s">
        <v>1947</v>
      </c>
      <c r="H1169" s="1" t="s">
        <v>15</v>
      </c>
      <c r="I1169" s="3" t="str">
        <f>"7"</f>
        <v>7</v>
      </c>
      <c r="J1169" s="3">
        <v>10398.299999999999</v>
      </c>
      <c r="K1169" s="2">
        <v>45886</v>
      </c>
      <c r="L1169" s="2">
        <v>45908</v>
      </c>
      <c r="M1169" s="1" t="s">
        <v>2070</v>
      </c>
      <c r="N1169" s="1" t="s">
        <v>8243</v>
      </c>
    </row>
    <row r="1170" spans="1:14" x14ac:dyDescent="0.35">
      <c r="A1170" s="1" t="s">
        <v>4321</v>
      </c>
      <c r="B1170" s="3" t="s">
        <v>93</v>
      </c>
      <c r="C1170" s="1" t="s">
        <v>109</v>
      </c>
      <c r="D1170" s="1" t="s">
        <v>8242</v>
      </c>
      <c r="E1170" s="1" t="str">
        <f>"3431"</f>
        <v>3431</v>
      </c>
      <c r="F1170" s="1" t="str">
        <f>"012462247"</f>
        <v>012462247</v>
      </c>
      <c r="G1170" s="1" t="s">
        <v>1793</v>
      </c>
      <c r="H1170" s="1" t="s">
        <v>15</v>
      </c>
      <c r="I1170" s="3" t="str">
        <f>"1"</f>
        <v>1</v>
      </c>
      <c r="J1170" s="3" t="str">
        <f>"13540"</f>
        <v>13540</v>
      </c>
      <c r="K1170" s="2">
        <v>45871</v>
      </c>
      <c r="L1170" s="2">
        <v>45908</v>
      </c>
      <c r="M1170" s="1" t="s">
        <v>8241</v>
      </c>
      <c r="N1170" s="1" t="s">
        <v>8240</v>
      </c>
    </row>
    <row r="1171" spans="1:14" x14ac:dyDescent="0.35">
      <c r="A1171" s="1" t="s">
        <v>4321</v>
      </c>
      <c r="B1171" s="3" t="s">
        <v>3183</v>
      </c>
      <c r="C1171" s="1" t="s">
        <v>6378</v>
      </c>
      <c r="D1171" s="1" t="s">
        <v>8239</v>
      </c>
      <c r="E1171" s="1" t="str">
        <f>"2320"</f>
        <v>2320</v>
      </c>
      <c r="F1171" s="1" t="str">
        <f>"013719583"</f>
        <v>013719583</v>
      </c>
      <c r="G1171" s="1" t="s">
        <v>604</v>
      </c>
      <c r="H1171" s="1" t="s">
        <v>15</v>
      </c>
      <c r="I1171" s="3" t="str">
        <f>"1"</f>
        <v>1</v>
      </c>
      <c r="J1171" s="3" t="str">
        <f>"63682"</f>
        <v>63682</v>
      </c>
      <c r="K1171" s="2">
        <v>45867</v>
      </c>
      <c r="L1171" s="2">
        <v>45908</v>
      </c>
      <c r="M1171" s="1" t="s">
        <v>8238</v>
      </c>
      <c r="N1171" s="1" t="s">
        <v>8237</v>
      </c>
    </row>
    <row r="1172" spans="1:14" x14ac:dyDescent="0.35">
      <c r="A1172" s="1" t="s">
        <v>4321</v>
      </c>
      <c r="B1172" s="3" t="s">
        <v>2000</v>
      </c>
      <c r="C1172" s="1" t="s">
        <v>8236</v>
      </c>
      <c r="D1172" s="1" t="s">
        <v>8235</v>
      </c>
      <c r="E1172" s="1" t="str">
        <f>"3930"</f>
        <v>3930</v>
      </c>
      <c r="F1172" s="1" t="s">
        <v>1706</v>
      </c>
      <c r="G1172" s="1" t="s">
        <v>1707</v>
      </c>
      <c r="H1172" s="1" t="s">
        <v>15</v>
      </c>
      <c r="I1172" s="3" t="str">
        <f>"1"</f>
        <v>1</v>
      </c>
      <c r="J1172" s="3" t="str">
        <f>"60000"</f>
        <v>60000</v>
      </c>
      <c r="K1172" s="2">
        <v>45866</v>
      </c>
      <c r="L1172" s="2">
        <v>45908</v>
      </c>
      <c r="M1172" s="1" t="s">
        <v>8234</v>
      </c>
      <c r="N1172" s="1" t="s">
        <v>8233</v>
      </c>
    </row>
    <row r="1173" spans="1:14" x14ac:dyDescent="0.35">
      <c r="A1173" s="1" t="s">
        <v>4321</v>
      </c>
      <c r="B1173" s="3" t="s">
        <v>3183</v>
      </c>
      <c r="C1173" s="1" t="s">
        <v>6217</v>
      </c>
      <c r="D1173" s="1" t="s">
        <v>8232</v>
      </c>
      <c r="E1173" s="1" t="str">
        <f>"7025"</f>
        <v>7025</v>
      </c>
      <c r="F1173" s="1" t="s">
        <v>2323</v>
      </c>
      <c r="G1173" s="1" t="s">
        <v>2324</v>
      </c>
      <c r="H1173" s="1" t="s">
        <v>15</v>
      </c>
      <c r="I1173" s="3" t="str">
        <f>"4"</f>
        <v>4</v>
      </c>
      <c r="J1173" s="3">
        <v>991.94</v>
      </c>
      <c r="K1173" s="2">
        <v>45864</v>
      </c>
      <c r="L1173" s="2">
        <v>45908</v>
      </c>
      <c r="M1173" s="1" t="s">
        <v>8231</v>
      </c>
      <c r="N1173" s="1" t="s">
        <v>8230</v>
      </c>
    </row>
    <row r="1174" spans="1:14" x14ac:dyDescent="0.35">
      <c r="A1174" s="1" t="s">
        <v>4321</v>
      </c>
      <c r="B1174" s="3" t="s">
        <v>1699</v>
      </c>
      <c r="C1174" s="1" t="s">
        <v>6146</v>
      </c>
      <c r="D1174" s="1" t="s">
        <v>8229</v>
      </c>
      <c r="E1174" s="1" t="str">
        <f>"8340"</f>
        <v>8340</v>
      </c>
      <c r="F1174" s="1" t="str">
        <f>"014875610"</f>
        <v>014875610</v>
      </c>
      <c r="G1174" s="1" t="s">
        <v>763</v>
      </c>
      <c r="H1174" s="1" t="s">
        <v>15</v>
      </c>
      <c r="I1174" s="3" t="str">
        <f>"2"</f>
        <v>2</v>
      </c>
      <c r="J1174" s="3">
        <v>118.93</v>
      </c>
      <c r="K1174" s="2">
        <v>45859</v>
      </c>
      <c r="L1174" s="2">
        <v>45908</v>
      </c>
      <c r="M1174" s="1" t="s">
        <v>8228</v>
      </c>
      <c r="N1174" s="1" t="s">
        <v>8227</v>
      </c>
    </row>
    <row r="1175" spans="1:14" x14ac:dyDescent="0.35">
      <c r="A1175" s="1" t="s">
        <v>4321</v>
      </c>
      <c r="B1175" s="3" t="s">
        <v>1699</v>
      </c>
      <c r="C1175" s="1" t="s">
        <v>6146</v>
      </c>
      <c r="D1175" s="1" t="s">
        <v>8226</v>
      </c>
      <c r="E1175" s="1" t="str">
        <f>"6545"</f>
        <v>6545</v>
      </c>
      <c r="F1175" s="1" t="str">
        <f>"015300929"</f>
        <v>015300929</v>
      </c>
      <c r="G1175" s="1" t="s">
        <v>293</v>
      </c>
      <c r="H1175" s="1" t="s">
        <v>19</v>
      </c>
      <c r="I1175" s="3" t="str">
        <f>"25"</f>
        <v>25</v>
      </c>
      <c r="J1175" s="3">
        <v>62.81</v>
      </c>
      <c r="K1175" s="2">
        <v>45859</v>
      </c>
      <c r="L1175" s="2">
        <v>45908</v>
      </c>
      <c r="M1175" s="1" t="s">
        <v>8225</v>
      </c>
      <c r="N1175" s="1" t="s">
        <v>8224</v>
      </c>
    </row>
    <row r="1176" spans="1:14" x14ac:dyDescent="0.35">
      <c r="A1176" s="1" t="s">
        <v>4321</v>
      </c>
      <c r="B1176" s="3" t="s">
        <v>3183</v>
      </c>
      <c r="C1176" s="1" t="s">
        <v>3376</v>
      </c>
      <c r="D1176" s="1" t="s">
        <v>8223</v>
      </c>
      <c r="E1176" s="1" t="str">
        <f>"6115"</f>
        <v>6115</v>
      </c>
      <c r="F1176" s="1" t="str">
        <f>"012747387"</f>
        <v>012747387</v>
      </c>
      <c r="G1176" s="1" t="s">
        <v>435</v>
      </c>
      <c r="H1176" s="1" t="s">
        <v>15</v>
      </c>
      <c r="I1176" s="3" t="str">
        <f>"1"</f>
        <v>1</v>
      </c>
      <c r="J1176" s="3">
        <v>12797.7</v>
      </c>
      <c r="K1176" s="2">
        <v>45859</v>
      </c>
      <c r="L1176" s="2">
        <v>45908</v>
      </c>
      <c r="M1176" s="1" t="s">
        <v>8220</v>
      </c>
      <c r="N1176" s="1" t="s">
        <v>8222</v>
      </c>
    </row>
    <row r="1177" spans="1:14" x14ac:dyDescent="0.35">
      <c r="A1177" s="1" t="s">
        <v>4321</v>
      </c>
      <c r="B1177" s="3" t="s">
        <v>3183</v>
      </c>
      <c r="C1177" s="1" t="s">
        <v>3376</v>
      </c>
      <c r="D1177" s="1" t="s">
        <v>8221</v>
      </c>
      <c r="E1177" s="1" t="str">
        <f>"6115"</f>
        <v>6115</v>
      </c>
      <c r="F1177" s="1" t="str">
        <f>"012747387"</f>
        <v>012747387</v>
      </c>
      <c r="G1177" s="1" t="s">
        <v>435</v>
      </c>
      <c r="H1177" s="1" t="s">
        <v>15</v>
      </c>
      <c r="I1177" s="3" t="str">
        <f>"1"</f>
        <v>1</v>
      </c>
      <c r="J1177" s="3">
        <v>12797.7</v>
      </c>
      <c r="K1177" s="2">
        <v>45859</v>
      </c>
      <c r="L1177" s="2">
        <v>45908</v>
      </c>
      <c r="M1177" s="1" t="s">
        <v>8220</v>
      </c>
      <c r="N1177" s="1" t="s">
        <v>8219</v>
      </c>
    </row>
    <row r="1178" spans="1:14" x14ac:dyDescent="0.35">
      <c r="A1178" s="1" t="s">
        <v>4321</v>
      </c>
      <c r="B1178" s="3" t="s">
        <v>93</v>
      </c>
      <c r="C1178" s="1" t="s">
        <v>319</v>
      </c>
      <c r="D1178" s="1" t="s">
        <v>8218</v>
      </c>
      <c r="E1178" s="1" t="str">
        <f>"2320"</f>
        <v>2320</v>
      </c>
      <c r="F1178" s="1" t="str">
        <f>"013701439"</f>
        <v>013701439</v>
      </c>
      <c r="G1178" s="1" t="s">
        <v>5457</v>
      </c>
      <c r="H1178" s="1" t="s">
        <v>15</v>
      </c>
      <c r="I1178" s="3" t="str">
        <f>"1"</f>
        <v>1</v>
      </c>
      <c r="J1178" s="3" t="str">
        <f>"57800"</f>
        <v>57800</v>
      </c>
      <c r="K1178" s="2">
        <v>45822</v>
      </c>
      <c r="L1178" s="2">
        <v>45908</v>
      </c>
      <c r="M1178" s="1" t="s">
        <v>8217</v>
      </c>
      <c r="N1178" s="1" t="s">
        <v>8216</v>
      </c>
    </row>
    <row r="1179" spans="1:14" x14ac:dyDescent="0.35">
      <c r="A1179" s="1" t="s">
        <v>4321</v>
      </c>
      <c r="B1179" s="3" t="s">
        <v>2494</v>
      </c>
      <c r="C1179" s="1" t="s">
        <v>4610</v>
      </c>
      <c r="D1179" s="1" t="s">
        <v>8215</v>
      </c>
      <c r="E1179" s="1" t="str">
        <f>"6930"</f>
        <v>6930</v>
      </c>
      <c r="F1179" s="1" t="str">
        <f>"016846420"</f>
        <v>016846420</v>
      </c>
      <c r="G1179" s="1" t="s">
        <v>8211</v>
      </c>
      <c r="H1179" s="1" t="s">
        <v>15</v>
      </c>
      <c r="I1179" s="3" t="str">
        <f>"11"</f>
        <v>11</v>
      </c>
      <c r="J1179" s="3">
        <v>131.97999999999999</v>
      </c>
      <c r="K1179" s="2">
        <v>45904</v>
      </c>
      <c r="L1179" s="2">
        <v>45907</v>
      </c>
      <c r="M1179" s="1" t="s">
        <v>8214</v>
      </c>
      <c r="N1179" s="1" t="s">
        <v>8213</v>
      </c>
    </row>
    <row r="1180" spans="1:14" x14ac:dyDescent="0.35">
      <c r="A1180" s="1" t="s">
        <v>4321</v>
      </c>
      <c r="B1180" s="3" t="s">
        <v>2987</v>
      </c>
      <c r="C1180" s="1" t="s">
        <v>3058</v>
      </c>
      <c r="D1180" s="1" t="s">
        <v>8212</v>
      </c>
      <c r="E1180" s="1" t="str">
        <f>"6930"</f>
        <v>6930</v>
      </c>
      <c r="F1180" s="1" t="str">
        <f>"016846420"</f>
        <v>016846420</v>
      </c>
      <c r="G1180" s="1" t="s">
        <v>8211</v>
      </c>
      <c r="H1180" s="1" t="s">
        <v>15</v>
      </c>
      <c r="I1180" s="3" t="str">
        <f>"11"</f>
        <v>11</v>
      </c>
      <c r="J1180" s="3">
        <v>131.97999999999999</v>
      </c>
      <c r="K1180" s="2">
        <v>45904</v>
      </c>
      <c r="L1180" s="2">
        <v>45907</v>
      </c>
      <c r="M1180" s="1" t="s">
        <v>8210</v>
      </c>
      <c r="N1180" s="1" t="s">
        <v>8209</v>
      </c>
    </row>
    <row r="1181" spans="1:14" x14ac:dyDescent="0.35">
      <c r="A1181" s="1" t="s">
        <v>4321</v>
      </c>
      <c r="B1181" s="3" t="s">
        <v>2720</v>
      </c>
      <c r="C1181" s="1" t="s">
        <v>2745</v>
      </c>
      <c r="D1181" s="1" t="s">
        <v>8208</v>
      </c>
      <c r="E1181" s="1" t="str">
        <f>"5855"</f>
        <v>5855</v>
      </c>
      <c r="F1181" s="1" t="str">
        <f>"014684169"</f>
        <v>014684169</v>
      </c>
      <c r="G1181" s="1" t="s">
        <v>1931</v>
      </c>
      <c r="H1181" s="1" t="s">
        <v>15</v>
      </c>
      <c r="I1181" s="3" t="str">
        <f>"1"</f>
        <v>1</v>
      </c>
      <c r="J1181" s="3">
        <v>918.54</v>
      </c>
      <c r="K1181" s="2">
        <v>45903</v>
      </c>
      <c r="L1181" s="2">
        <v>45907</v>
      </c>
      <c r="M1181" s="1" t="s">
        <v>8171</v>
      </c>
      <c r="N1181" s="1" t="s">
        <v>4343</v>
      </c>
    </row>
    <row r="1182" spans="1:14" x14ac:dyDescent="0.35">
      <c r="A1182" s="1" t="s">
        <v>4321</v>
      </c>
      <c r="B1182" s="3" t="s">
        <v>2720</v>
      </c>
      <c r="C1182" s="1" t="s">
        <v>2745</v>
      </c>
      <c r="D1182" s="1" t="s">
        <v>8207</v>
      </c>
      <c r="E1182" s="1" t="str">
        <f>"5855"</f>
        <v>5855</v>
      </c>
      <c r="F1182" s="1" t="str">
        <f>"014684169"</f>
        <v>014684169</v>
      </c>
      <c r="G1182" s="1" t="s">
        <v>1931</v>
      </c>
      <c r="H1182" s="1" t="s">
        <v>15</v>
      </c>
      <c r="I1182" s="3" t="str">
        <f>"1"</f>
        <v>1</v>
      </c>
      <c r="J1182" s="3">
        <v>918.54</v>
      </c>
      <c r="K1182" s="2">
        <v>45903</v>
      </c>
      <c r="L1182" s="2">
        <v>45907</v>
      </c>
      <c r="M1182" s="1" t="s">
        <v>8171</v>
      </c>
      <c r="N1182" s="1" t="s">
        <v>4343</v>
      </c>
    </row>
    <row r="1183" spans="1:14" x14ac:dyDescent="0.35">
      <c r="A1183" s="1" t="s">
        <v>4321</v>
      </c>
      <c r="B1183" s="3" t="s">
        <v>2720</v>
      </c>
      <c r="C1183" s="1" t="s">
        <v>2745</v>
      </c>
      <c r="D1183" s="1" t="s">
        <v>8206</v>
      </c>
      <c r="E1183" s="1" t="str">
        <f>"5855"</f>
        <v>5855</v>
      </c>
      <c r="F1183" s="1" t="str">
        <f>"014684169"</f>
        <v>014684169</v>
      </c>
      <c r="G1183" s="1" t="s">
        <v>1931</v>
      </c>
      <c r="H1183" s="1" t="s">
        <v>15</v>
      </c>
      <c r="I1183" s="3" t="str">
        <f>"1"</f>
        <v>1</v>
      </c>
      <c r="J1183" s="3">
        <v>918.54</v>
      </c>
      <c r="K1183" s="2">
        <v>45903</v>
      </c>
      <c r="L1183" s="2">
        <v>45907</v>
      </c>
      <c r="M1183" s="1" t="s">
        <v>8171</v>
      </c>
      <c r="N1183" s="1" t="s">
        <v>4343</v>
      </c>
    </row>
    <row r="1184" spans="1:14" x14ac:dyDescent="0.35">
      <c r="A1184" s="1" t="s">
        <v>4321</v>
      </c>
      <c r="B1184" s="3" t="s">
        <v>2720</v>
      </c>
      <c r="C1184" s="1" t="s">
        <v>2745</v>
      </c>
      <c r="D1184" s="1" t="s">
        <v>8205</v>
      </c>
      <c r="E1184" s="1" t="str">
        <f>"5855"</f>
        <v>5855</v>
      </c>
      <c r="F1184" s="1" t="str">
        <f>"014684169"</f>
        <v>014684169</v>
      </c>
      <c r="G1184" s="1" t="s">
        <v>1931</v>
      </c>
      <c r="H1184" s="1" t="s">
        <v>15</v>
      </c>
      <c r="I1184" s="3" t="str">
        <f>"1"</f>
        <v>1</v>
      </c>
      <c r="J1184" s="3">
        <v>918.54</v>
      </c>
      <c r="K1184" s="2">
        <v>45903</v>
      </c>
      <c r="L1184" s="2">
        <v>45907</v>
      </c>
      <c r="M1184" s="1" t="s">
        <v>8171</v>
      </c>
      <c r="N1184" s="1" t="s">
        <v>4343</v>
      </c>
    </row>
    <row r="1185" spans="1:14" x14ac:dyDescent="0.35">
      <c r="A1185" s="1" t="s">
        <v>4321</v>
      </c>
      <c r="B1185" s="3" t="s">
        <v>2248</v>
      </c>
      <c r="C1185" s="1" t="s">
        <v>2265</v>
      </c>
      <c r="D1185" s="1" t="s">
        <v>8204</v>
      </c>
      <c r="E1185" s="1" t="str">
        <f>"6920"</f>
        <v>6920</v>
      </c>
      <c r="F1185" s="1" t="s">
        <v>2759</v>
      </c>
      <c r="G1185" s="1" t="s">
        <v>2760</v>
      </c>
      <c r="H1185" s="1" t="s">
        <v>15</v>
      </c>
      <c r="I1185" s="3" t="str">
        <f>"13"</f>
        <v>13</v>
      </c>
      <c r="J1185" s="3">
        <v>183.59</v>
      </c>
      <c r="K1185" s="2">
        <v>45902</v>
      </c>
      <c r="L1185" s="2">
        <v>45907</v>
      </c>
      <c r="M1185" s="1" t="s">
        <v>8203</v>
      </c>
      <c r="N1185" s="1" t="s">
        <v>4343</v>
      </c>
    </row>
    <row r="1186" spans="1:14" x14ac:dyDescent="0.35">
      <c r="A1186" s="1" t="s">
        <v>4321</v>
      </c>
      <c r="B1186" s="3" t="s">
        <v>2720</v>
      </c>
      <c r="C1186" s="1" t="s">
        <v>2828</v>
      </c>
      <c r="D1186" s="1" t="s">
        <v>8202</v>
      </c>
      <c r="E1186" s="1" t="str">
        <f>"1005"</f>
        <v>1005</v>
      </c>
      <c r="F1186" s="1" t="str">
        <f>"015205992"</f>
        <v>015205992</v>
      </c>
      <c r="G1186" s="1" t="s">
        <v>4601</v>
      </c>
      <c r="H1186" s="1" t="s">
        <v>15</v>
      </c>
      <c r="I1186" s="3" t="str">
        <f>"40"</f>
        <v>40</v>
      </c>
      <c r="J1186" s="3">
        <v>42.81</v>
      </c>
      <c r="K1186" s="2">
        <v>45900</v>
      </c>
      <c r="L1186" s="2">
        <v>45907</v>
      </c>
      <c r="M1186" s="1" t="s">
        <v>8201</v>
      </c>
      <c r="N1186" s="1" t="s">
        <v>4343</v>
      </c>
    </row>
    <row r="1187" spans="1:14" x14ac:dyDescent="0.35">
      <c r="A1187" s="1" t="s">
        <v>4321</v>
      </c>
      <c r="B1187" s="3" t="s">
        <v>1317</v>
      </c>
      <c r="C1187" s="1" t="s">
        <v>1371</v>
      </c>
      <c r="D1187" s="1" t="s">
        <v>8200</v>
      </c>
      <c r="E1187" s="1" t="str">
        <f>"1240"</f>
        <v>1240</v>
      </c>
      <c r="F1187" s="1" t="str">
        <f>"014907308"</f>
        <v>014907308</v>
      </c>
      <c r="G1187" s="1" t="s">
        <v>269</v>
      </c>
      <c r="H1187" s="1" t="s">
        <v>15</v>
      </c>
      <c r="I1187" s="3" t="str">
        <f>"5"</f>
        <v>5</v>
      </c>
      <c r="J1187" s="3">
        <v>1779.24</v>
      </c>
      <c r="K1187" s="2">
        <v>45895</v>
      </c>
      <c r="L1187" s="2">
        <v>45907</v>
      </c>
      <c r="M1187" s="1" t="s">
        <v>8199</v>
      </c>
      <c r="N1187" s="1" t="s">
        <v>4343</v>
      </c>
    </row>
    <row r="1188" spans="1:14" x14ac:dyDescent="0.35">
      <c r="A1188" s="1" t="s">
        <v>4321</v>
      </c>
      <c r="B1188" s="3" t="s">
        <v>2720</v>
      </c>
      <c r="C1188" s="1" t="s">
        <v>2745</v>
      </c>
      <c r="D1188" s="1" t="s">
        <v>8198</v>
      </c>
      <c r="E1188" s="1" t="str">
        <f>"1005"</f>
        <v>1005</v>
      </c>
      <c r="F1188" s="1" t="str">
        <f>"015205992"</f>
        <v>015205992</v>
      </c>
      <c r="G1188" s="1" t="s">
        <v>4601</v>
      </c>
      <c r="H1188" s="1" t="s">
        <v>15</v>
      </c>
      <c r="I1188" s="3" t="str">
        <f>"103"</f>
        <v>103</v>
      </c>
      <c r="J1188" s="3">
        <v>42.81</v>
      </c>
      <c r="K1188" s="2">
        <v>45894</v>
      </c>
      <c r="L1188" s="2">
        <v>45907</v>
      </c>
      <c r="M1188" s="1" t="s">
        <v>8197</v>
      </c>
      <c r="N1188" s="1" t="s">
        <v>4343</v>
      </c>
    </row>
    <row r="1189" spans="1:14" x14ac:dyDescent="0.35">
      <c r="A1189" s="1" t="s">
        <v>4321</v>
      </c>
      <c r="B1189" s="3" t="s">
        <v>2720</v>
      </c>
      <c r="C1189" s="1" t="s">
        <v>2931</v>
      </c>
      <c r="D1189" s="1" t="s">
        <v>8196</v>
      </c>
      <c r="E1189" s="1" t="str">
        <f>"8465"</f>
        <v>8465</v>
      </c>
      <c r="F1189" s="1" t="s">
        <v>1621</v>
      </c>
      <c r="G1189" s="1" t="s">
        <v>1622</v>
      </c>
      <c r="H1189" s="1" t="s">
        <v>15</v>
      </c>
      <c r="I1189" s="3" t="str">
        <f>"1"</f>
        <v>1</v>
      </c>
      <c r="J1189" s="3">
        <v>22.62</v>
      </c>
      <c r="K1189" s="2">
        <v>45905</v>
      </c>
      <c r="L1189" s="2">
        <v>45906</v>
      </c>
      <c r="M1189" s="1" t="s">
        <v>8195</v>
      </c>
      <c r="N1189" s="1" t="s">
        <v>4343</v>
      </c>
    </row>
    <row r="1190" spans="1:14" x14ac:dyDescent="0.35">
      <c r="A1190" s="1" t="s">
        <v>4321</v>
      </c>
      <c r="B1190" s="3" t="s">
        <v>2720</v>
      </c>
      <c r="C1190" s="1" t="s">
        <v>2931</v>
      </c>
      <c r="D1190" s="1" t="s">
        <v>8194</v>
      </c>
      <c r="E1190" s="1" t="str">
        <f>"8430"</f>
        <v>8430</v>
      </c>
      <c r="F1190" s="1" t="s">
        <v>6871</v>
      </c>
      <c r="G1190" s="1" t="s">
        <v>6870</v>
      </c>
      <c r="H1190" s="1" t="s">
        <v>847</v>
      </c>
      <c r="I1190" s="3" t="str">
        <f>"1"</f>
        <v>1</v>
      </c>
      <c r="J1190" s="3">
        <v>84.31</v>
      </c>
      <c r="K1190" s="2">
        <v>45905</v>
      </c>
      <c r="L1190" s="2">
        <v>45906</v>
      </c>
      <c r="M1190" s="1" t="s">
        <v>8193</v>
      </c>
      <c r="N1190" s="1" t="s">
        <v>4343</v>
      </c>
    </row>
    <row r="1191" spans="1:14" x14ac:dyDescent="0.35">
      <c r="A1191" s="1" t="s">
        <v>4321</v>
      </c>
      <c r="B1191" s="3" t="s">
        <v>93</v>
      </c>
      <c r="C1191" s="1" t="s">
        <v>137</v>
      </c>
      <c r="D1191" s="1" t="s">
        <v>8192</v>
      </c>
      <c r="E1191" s="1" t="str">
        <f>"5895"</f>
        <v>5895</v>
      </c>
      <c r="F1191" s="1" t="str">
        <f>"016129051"</f>
        <v>016129051</v>
      </c>
      <c r="G1191" s="1" t="s">
        <v>381</v>
      </c>
      <c r="H1191" s="1" t="s">
        <v>15</v>
      </c>
      <c r="I1191" s="3" t="str">
        <f>"5"</f>
        <v>5</v>
      </c>
      <c r="J1191" s="3">
        <v>5933.4</v>
      </c>
      <c r="K1191" s="2">
        <v>45904</v>
      </c>
      <c r="L1191" s="2">
        <v>45906</v>
      </c>
      <c r="M1191" s="1" t="s">
        <v>8191</v>
      </c>
      <c r="N1191" s="1" t="s">
        <v>4343</v>
      </c>
    </row>
    <row r="1192" spans="1:14" x14ac:dyDescent="0.35">
      <c r="A1192" s="1" t="s">
        <v>4321</v>
      </c>
      <c r="B1192" s="3" t="s">
        <v>1445</v>
      </c>
      <c r="C1192" s="1" t="s">
        <v>1459</v>
      </c>
      <c r="D1192" s="1" t="s">
        <v>8190</v>
      </c>
      <c r="E1192" s="1" t="str">
        <f>"6760"</f>
        <v>6760</v>
      </c>
      <c r="F1192" s="1" t="s">
        <v>671</v>
      </c>
      <c r="G1192" s="1" t="s">
        <v>672</v>
      </c>
      <c r="H1192" s="1" t="s">
        <v>15</v>
      </c>
      <c r="I1192" s="3" t="str">
        <f>"2"</f>
        <v>2</v>
      </c>
      <c r="J1192" s="3">
        <v>649.9</v>
      </c>
      <c r="K1192" s="2">
        <v>45904</v>
      </c>
      <c r="L1192" s="2">
        <v>45906</v>
      </c>
      <c r="M1192" s="1" t="s">
        <v>8189</v>
      </c>
      <c r="N1192" s="1" t="s">
        <v>4343</v>
      </c>
    </row>
    <row r="1193" spans="1:14" x14ac:dyDescent="0.35">
      <c r="A1193" s="1" t="s">
        <v>4321</v>
      </c>
      <c r="B1193" s="3" t="s">
        <v>1445</v>
      </c>
      <c r="C1193" s="1" t="s">
        <v>1459</v>
      </c>
      <c r="D1193" s="1" t="s">
        <v>8188</v>
      </c>
      <c r="E1193" s="1" t="str">
        <f>"6760"</f>
        <v>6760</v>
      </c>
      <c r="F1193" s="1" t="s">
        <v>676</v>
      </c>
      <c r="G1193" s="1" t="s">
        <v>677</v>
      </c>
      <c r="H1193" s="1" t="s">
        <v>15</v>
      </c>
      <c r="I1193" s="3" t="str">
        <f>"13"</f>
        <v>13</v>
      </c>
      <c r="J1193" s="3">
        <v>296.95</v>
      </c>
      <c r="K1193" s="2">
        <v>45904</v>
      </c>
      <c r="L1193" s="2">
        <v>45906</v>
      </c>
      <c r="M1193" s="1" t="s">
        <v>8185</v>
      </c>
      <c r="N1193" s="1" t="s">
        <v>4343</v>
      </c>
    </row>
    <row r="1194" spans="1:14" x14ac:dyDescent="0.35">
      <c r="A1194" s="1" t="s">
        <v>4321</v>
      </c>
      <c r="B1194" s="3" t="s">
        <v>1445</v>
      </c>
      <c r="C1194" s="1" t="s">
        <v>1459</v>
      </c>
      <c r="D1194" s="1" t="s">
        <v>8187</v>
      </c>
      <c r="E1194" s="1" t="str">
        <f>"6760"</f>
        <v>6760</v>
      </c>
      <c r="F1194" s="1" t="s">
        <v>676</v>
      </c>
      <c r="G1194" s="1" t="s">
        <v>677</v>
      </c>
      <c r="H1194" s="1" t="s">
        <v>15</v>
      </c>
      <c r="I1194" s="3" t="str">
        <f>"2"</f>
        <v>2</v>
      </c>
      <c r="J1194" s="3">
        <v>296.95</v>
      </c>
      <c r="K1194" s="2">
        <v>45904</v>
      </c>
      <c r="L1194" s="2">
        <v>45906</v>
      </c>
      <c r="M1194" s="1" t="s">
        <v>8185</v>
      </c>
      <c r="N1194" s="1" t="s">
        <v>4343</v>
      </c>
    </row>
    <row r="1195" spans="1:14" x14ac:dyDescent="0.35">
      <c r="A1195" s="1" t="s">
        <v>4321</v>
      </c>
      <c r="B1195" s="3" t="s">
        <v>1445</v>
      </c>
      <c r="C1195" s="1" t="s">
        <v>1459</v>
      </c>
      <c r="D1195" s="1" t="s">
        <v>8186</v>
      </c>
      <c r="E1195" s="1" t="str">
        <f>"6760"</f>
        <v>6760</v>
      </c>
      <c r="F1195" s="1" t="s">
        <v>671</v>
      </c>
      <c r="G1195" s="1" t="s">
        <v>672</v>
      </c>
      <c r="H1195" s="1" t="s">
        <v>15</v>
      </c>
      <c r="I1195" s="3" t="str">
        <f>"2"</f>
        <v>2</v>
      </c>
      <c r="J1195" s="3">
        <v>649.9</v>
      </c>
      <c r="K1195" s="2">
        <v>45904</v>
      </c>
      <c r="L1195" s="2">
        <v>45906</v>
      </c>
      <c r="M1195" s="1" t="s">
        <v>8185</v>
      </c>
      <c r="N1195" s="1" t="s">
        <v>4343</v>
      </c>
    </row>
    <row r="1196" spans="1:14" x14ac:dyDescent="0.35">
      <c r="A1196" s="1" t="s">
        <v>4321</v>
      </c>
      <c r="B1196" s="3" t="s">
        <v>3183</v>
      </c>
      <c r="C1196" s="1" t="s">
        <v>3376</v>
      </c>
      <c r="D1196" s="1" t="s">
        <v>8184</v>
      </c>
      <c r="E1196" s="1" t="str">
        <f>"6545"</f>
        <v>6545</v>
      </c>
      <c r="F1196" s="1" t="str">
        <f>"016899365"</f>
        <v>016899365</v>
      </c>
      <c r="G1196" s="1" t="s">
        <v>3594</v>
      </c>
      <c r="H1196" s="1" t="s">
        <v>19</v>
      </c>
      <c r="I1196" s="3" t="str">
        <f>"10"</f>
        <v>10</v>
      </c>
      <c r="J1196" s="3">
        <v>4900.5200000000004</v>
      </c>
      <c r="K1196" s="2">
        <v>45904</v>
      </c>
      <c r="L1196" s="2">
        <v>45906</v>
      </c>
      <c r="M1196" s="1" t="s">
        <v>8183</v>
      </c>
      <c r="N1196" s="1" t="s">
        <v>8182</v>
      </c>
    </row>
    <row r="1197" spans="1:14" x14ac:dyDescent="0.35">
      <c r="A1197" s="1" t="s">
        <v>4321</v>
      </c>
      <c r="B1197" s="3" t="s">
        <v>3183</v>
      </c>
      <c r="C1197" s="1" t="s">
        <v>3376</v>
      </c>
      <c r="D1197" s="1" t="s">
        <v>8181</v>
      </c>
      <c r="E1197" s="1" t="str">
        <f>"5180"</f>
        <v>5180</v>
      </c>
      <c r="F1197" s="1" t="str">
        <f>"015595981"</f>
        <v>015595981</v>
      </c>
      <c r="G1197" s="1" t="s">
        <v>18</v>
      </c>
      <c r="H1197" s="1" t="s">
        <v>19</v>
      </c>
      <c r="I1197" s="3" t="str">
        <f>"1"</f>
        <v>1</v>
      </c>
      <c r="J1197" s="3" t="str">
        <f>"1774"</f>
        <v>1774</v>
      </c>
      <c r="K1197" s="2">
        <v>45904</v>
      </c>
      <c r="L1197" s="2">
        <v>45906</v>
      </c>
      <c r="M1197" s="1" t="s">
        <v>8180</v>
      </c>
      <c r="N1197" s="1" t="s">
        <v>8179</v>
      </c>
    </row>
    <row r="1198" spans="1:14" x14ac:dyDescent="0.35">
      <c r="A1198" s="1" t="s">
        <v>4321</v>
      </c>
      <c r="B1198" s="3" t="s">
        <v>2720</v>
      </c>
      <c r="C1198" s="1" t="s">
        <v>2745</v>
      </c>
      <c r="D1198" s="1" t="s">
        <v>8178</v>
      </c>
      <c r="E1198" s="1" t="str">
        <f>"5855"</f>
        <v>5855</v>
      </c>
      <c r="F1198" s="1" t="str">
        <f>"014684169"</f>
        <v>014684169</v>
      </c>
      <c r="G1198" s="1" t="s">
        <v>1931</v>
      </c>
      <c r="H1198" s="1" t="s">
        <v>15</v>
      </c>
      <c r="I1198" s="3" t="str">
        <f>"1"</f>
        <v>1</v>
      </c>
      <c r="J1198" s="3">
        <v>918.54</v>
      </c>
      <c r="K1198" s="2">
        <v>45903</v>
      </c>
      <c r="L1198" s="2">
        <v>45906</v>
      </c>
      <c r="M1198" s="1" t="s">
        <v>8171</v>
      </c>
      <c r="N1198" s="1" t="s">
        <v>4343</v>
      </c>
    </row>
    <row r="1199" spans="1:14" x14ac:dyDescent="0.35">
      <c r="A1199" s="1" t="s">
        <v>4321</v>
      </c>
      <c r="B1199" s="3" t="s">
        <v>2720</v>
      </c>
      <c r="C1199" s="1" t="s">
        <v>2745</v>
      </c>
      <c r="D1199" s="1" t="s">
        <v>8177</v>
      </c>
      <c r="E1199" s="1" t="str">
        <f>"5855"</f>
        <v>5855</v>
      </c>
      <c r="F1199" s="1" t="str">
        <f>"014684169"</f>
        <v>014684169</v>
      </c>
      <c r="G1199" s="1" t="s">
        <v>1931</v>
      </c>
      <c r="H1199" s="1" t="s">
        <v>15</v>
      </c>
      <c r="I1199" s="3" t="str">
        <f>"1"</f>
        <v>1</v>
      </c>
      <c r="J1199" s="3">
        <v>918.54</v>
      </c>
      <c r="K1199" s="2">
        <v>45903</v>
      </c>
      <c r="L1199" s="2">
        <v>45906</v>
      </c>
      <c r="M1199" s="1" t="s">
        <v>8171</v>
      </c>
      <c r="N1199" s="1" t="s">
        <v>4343</v>
      </c>
    </row>
    <row r="1200" spans="1:14" x14ac:dyDescent="0.35">
      <c r="A1200" s="1" t="s">
        <v>4321</v>
      </c>
      <c r="B1200" s="3" t="s">
        <v>2720</v>
      </c>
      <c r="C1200" s="1" t="s">
        <v>2745</v>
      </c>
      <c r="D1200" s="1" t="s">
        <v>8176</v>
      </c>
      <c r="E1200" s="1" t="str">
        <f>"5855"</f>
        <v>5855</v>
      </c>
      <c r="F1200" s="1" t="str">
        <f>"014684169"</f>
        <v>014684169</v>
      </c>
      <c r="G1200" s="1" t="s">
        <v>1931</v>
      </c>
      <c r="H1200" s="1" t="s">
        <v>15</v>
      </c>
      <c r="I1200" s="3" t="str">
        <f>"1"</f>
        <v>1</v>
      </c>
      <c r="J1200" s="3">
        <v>918.54</v>
      </c>
      <c r="K1200" s="2">
        <v>45903</v>
      </c>
      <c r="L1200" s="2">
        <v>45906</v>
      </c>
      <c r="M1200" s="1" t="s">
        <v>8171</v>
      </c>
      <c r="N1200" s="1" t="s">
        <v>4343</v>
      </c>
    </row>
    <row r="1201" spans="1:14" x14ac:dyDescent="0.35">
      <c r="A1201" s="1" t="s">
        <v>4321</v>
      </c>
      <c r="B1201" s="3" t="s">
        <v>2720</v>
      </c>
      <c r="C1201" s="1" t="s">
        <v>2745</v>
      </c>
      <c r="D1201" s="1" t="s">
        <v>8175</v>
      </c>
      <c r="E1201" s="1" t="str">
        <f>"5855"</f>
        <v>5855</v>
      </c>
      <c r="F1201" s="1" t="str">
        <f>"014684169"</f>
        <v>014684169</v>
      </c>
      <c r="G1201" s="1" t="s">
        <v>1931</v>
      </c>
      <c r="H1201" s="1" t="s">
        <v>15</v>
      </c>
      <c r="I1201" s="3" t="str">
        <f>"1"</f>
        <v>1</v>
      </c>
      <c r="J1201" s="3">
        <v>918.54</v>
      </c>
      <c r="K1201" s="2">
        <v>45903</v>
      </c>
      <c r="L1201" s="2">
        <v>45906</v>
      </c>
      <c r="M1201" s="1" t="s">
        <v>8171</v>
      </c>
      <c r="N1201" s="1" t="s">
        <v>4343</v>
      </c>
    </row>
    <row r="1202" spans="1:14" x14ac:dyDescent="0.35">
      <c r="A1202" s="1" t="s">
        <v>4321</v>
      </c>
      <c r="B1202" s="3" t="s">
        <v>2720</v>
      </c>
      <c r="C1202" s="1" t="s">
        <v>2745</v>
      </c>
      <c r="D1202" s="1" t="s">
        <v>8174</v>
      </c>
      <c r="E1202" s="1" t="str">
        <f>"5855"</f>
        <v>5855</v>
      </c>
      <c r="F1202" s="1" t="str">
        <f>"014684169"</f>
        <v>014684169</v>
      </c>
      <c r="G1202" s="1" t="s">
        <v>1931</v>
      </c>
      <c r="H1202" s="1" t="s">
        <v>15</v>
      </c>
      <c r="I1202" s="3" t="str">
        <f>"1"</f>
        <v>1</v>
      </c>
      <c r="J1202" s="3">
        <v>918.54</v>
      </c>
      <c r="K1202" s="2">
        <v>45903</v>
      </c>
      <c r="L1202" s="2">
        <v>45906</v>
      </c>
      <c r="M1202" s="1" t="s">
        <v>8171</v>
      </c>
      <c r="N1202" s="1" t="s">
        <v>4343</v>
      </c>
    </row>
    <row r="1203" spans="1:14" x14ac:dyDescent="0.35">
      <c r="A1203" s="1" t="s">
        <v>4321</v>
      </c>
      <c r="B1203" s="3" t="s">
        <v>2720</v>
      </c>
      <c r="C1203" s="1" t="s">
        <v>2745</v>
      </c>
      <c r="D1203" s="1" t="s">
        <v>8173</v>
      </c>
      <c r="E1203" s="1" t="str">
        <f>"5855"</f>
        <v>5855</v>
      </c>
      <c r="F1203" s="1" t="str">
        <f>"014684169"</f>
        <v>014684169</v>
      </c>
      <c r="G1203" s="1" t="s">
        <v>1931</v>
      </c>
      <c r="H1203" s="1" t="s">
        <v>15</v>
      </c>
      <c r="I1203" s="3" t="str">
        <f>"1"</f>
        <v>1</v>
      </c>
      <c r="J1203" s="3">
        <v>918.54</v>
      </c>
      <c r="K1203" s="2">
        <v>45903</v>
      </c>
      <c r="L1203" s="2">
        <v>45906</v>
      </c>
      <c r="M1203" s="1" t="s">
        <v>8171</v>
      </c>
      <c r="N1203" s="1" t="s">
        <v>4343</v>
      </c>
    </row>
    <row r="1204" spans="1:14" x14ac:dyDescent="0.35">
      <c r="A1204" s="1" t="s">
        <v>4321</v>
      </c>
      <c r="B1204" s="3" t="s">
        <v>2720</v>
      </c>
      <c r="C1204" s="1" t="s">
        <v>2745</v>
      </c>
      <c r="D1204" s="1" t="s">
        <v>8172</v>
      </c>
      <c r="E1204" s="1" t="str">
        <f>"5855"</f>
        <v>5855</v>
      </c>
      <c r="F1204" s="1" t="str">
        <f>"014684169"</f>
        <v>014684169</v>
      </c>
      <c r="G1204" s="1" t="s">
        <v>1931</v>
      </c>
      <c r="H1204" s="1" t="s">
        <v>15</v>
      </c>
      <c r="I1204" s="3" t="str">
        <f>"1"</f>
        <v>1</v>
      </c>
      <c r="J1204" s="3">
        <v>918.54</v>
      </c>
      <c r="K1204" s="2">
        <v>45903</v>
      </c>
      <c r="L1204" s="2">
        <v>45906</v>
      </c>
      <c r="M1204" s="1" t="s">
        <v>8171</v>
      </c>
      <c r="N1204" s="1" t="s">
        <v>4343</v>
      </c>
    </row>
    <row r="1205" spans="1:14" x14ac:dyDescent="0.35">
      <c r="A1205" s="1" t="s">
        <v>4321</v>
      </c>
      <c r="B1205" s="3" t="s">
        <v>1857</v>
      </c>
      <c r="C1205" s="1" t="s">
        <v>1929</v>
      </c>
      <c r="D1205" s="1" t="s">
        <v>8170</v>
      </c>
      <c r="E1205" s="1" t="str">
        <f>"5855"</f>
        <v>5855</v>
      </c>
      <c r="F1205" s="1" t="str">
        <f>"014684169"</f>
        <v>014684169</v>
      </c>
      <c r="G1205" s="1" t="s">
        <v>1931</v>
      </c>
      <c r="H1205" s="1" t="s">
        <v>15</v>
      </c>
      <c r="I1205" s="3" t="str">
        <f>"1"</f>
        <v>1</v>
      </c>
      <c r="J1205" s="3">
        <v>918.54</v>
      </c>
      <c r="K1205" s="2">
        <v>45903</v>
      </c>
      <c r="L1205" s="2">
        <v>45906</v>
      </c>
      <c r="M1205" s="1" t="s">
        <v>8169</v>
      </c>
      <c r="N1205" s="1" t="s">
        <v>8168</v>
      </c>
    </row>
    <row r="1206" spans="1:14" x14ac:dyDescent="0.35">
      <c r="A1206" s="1" t="s">
        <v>4321</v>
      </c>
      <c r="B1206" s="3" t="s">
        <v>2248</v>
      </c>
      <c r="C1206" s="1" t="s">
        <v>2265</v>
      </c>
      <c r="D1206" s="1" t="s">
        <v>8167</v>
      </c>
      <c r="E1206" s="1" t="str">
        <f>"6920"</f>
        <v>6920</v>
      </c>
      <c r="F1206" s="1" t="s">
        <v>2759</v>
      </c>
      <c r="G1206" s="1" t="s">
        <v>2760</v>
      </c>
      <c r="H1206" s="1" t="s">
        <v>15</v>
      </c>
      <c r="I1206" s="3" t="str">
        <f>"4"</f>
        <v>4</v>
      </c>
      <c r="J1206" s="3">
        <v>183.59</v>
      </c>
      <c r="K1206" s="2">
        <v>45902</v>
      </c>
      <c r="L1206" s="2">
        <v>45906</v>
      </c>
      <c r="M1206" s="1" t="s">
        <v>8166</v>
      </c>
      <c r="N1206" s="1" t="s">
        <v>4343</v>
      </c>
    </row>
    <row r="1207" spans="1:14" x14ac:dyDescent="0.35">
      <c r="A1207" s="1" t="s">
        <v>4321</v>
      </c>
      <c r="B1207" s="3" t="s">
        <v>2248</v>
      </c>
      <c r="C1207" s="1" t="s">
        <v>8165</v>
      </c>
      <c r="D1207" s="1" t="s">
        <v>8164</v>
      </c>
      <c r="E1207" s="1" t="str">
        <f>"6115"</f>
        <v>6115</v>
      </c>
      <c r="F1207" s="1" t="s">
        <v>174</v>
      </c>
      <c r="G1207" s="1" t="s">
        <v>175</v>
      </c>
      <c r="H1207" s="1" t="s">
        <v>15</v>
      </c>
      <c r="I1207" s="3" t="str">
        <f>"4"</f>
        <v>4</v>
      </c>
      <c r="J1207" s="3" t="str">
        <f>"3000"</f>
        <v>3000</v>
      </c>
      <c r="K1207" s="2">
        <v>45898</v>
      </c>
      <c r="L1207" s="2">
        <v>45906</v>
      </c>
      <c r="M1207" s="1" t="s">
        <v>8163</v>
      </c>
      <c r="N1207" s="1" t="s">
        <v>8162</v>
      </c>
    </row>
    <row r="1208" spans="1:14" x14ac:dyDescent="0.35">
      <c r="A1208" s="1" t="s">
        <v>4321</v>
      </c>
      <c r="B1208" s="3" t="s">
        <v>601</v>
      </c>
      <c r="C1208" s="1" t="s">
        <v>602</v>
      </c>
      <c r="D1208" s="1" t="s">
        <v>8161</v>
      </c>
      <c r="E1208" s="1" t="str">
        <f>"4240"</f>
        <v>4240</v>
      </c>
      <c r="F1208" s="1" t="s">
        <v>1105</v>
      </c>
      <c r="G1208" s="1" t="s">
        <v>1106</v>
      </c>
      <c r="H1208" s="1" t="s">
        <v>15</v>
      </c>
      <c r="I1208" s="3" t="str">
        <f>"1"</f>
        <v>1</v>
      </c>
      <c r="J1208" s="3" t="str">
        <f>"8000"</f>
        <v>8000</v>
      </c>
      <c r="K1208" s="2">
        <v>45897</v>
      </c>
      <c r="L1208" s="2">
        <v>45906</v>
      </c>
      <c r="M1208" s="1" t="s">
        <v>8160</v>
      </c>
      <c r="N1208" s="1" t="s">
        <v>8159</v>
      </c>
    </row>
    <row r="1209" spans="1:14" x14ac:dyDescent="0.35">
      <c r="A1209" s="1" t="s">
        <v>4321</v>
      </c>
      <c r="B1209" s="3" t="s">
        <v>93</v>
      </c>
      <c r="C1209" s="1" t="s">
        <v>437</v>
      </c>
      <c r="D1209" s="1" t="s">
        <v>8158</v>
      </c>
      <c r="E1209" s="1" t="str">
        <f>"1095"</f>
        <v>1095</v>
      </c>
      <c r="F1209" s="1" t="str">
        <f>"015432189"</f>
        <v>015432189</v>
      </c>
      <c r="G1209" s="1" t="s">
        <v>106</v>
      </c>
      <c r="H1209" s="1" t="s">
        <v>15</v>
      </c>
      <c r="I1209" s="3" t="str">
        <f>"2"</f>
        <v>2</v>
      </c>
      <c r="J1209" s="3" t="str">
        <f>"959"</f>
        <v>959</v>
      </c>
      <c r="K1209" s="2">
        <v>45897</v>
      </c>
      <c r="L1209" s="2">
        <v>45906</v>
      </c>
      <c r="M1209" s="1" t="s">
        <v>8157</v>
      </c>
      <c r="N1209" s="1" t="s">
        <v>8156</v>
      </c>
    </row>
    <row r="1210" spans="1:14" x14ac:dyDescent="0.35">
      <c r="A1210" s="1" t="s">
        <v>4321</v>
      </c>
      <c r="B1210" s="3" t="s">
        <v>2720</v>
      </c>
      <c r="C1210" s="1" t="s">
        <v>2931</v>
      </c>
      <c r="D1210" s="1" t="s">
        <v>8155</v>
      </c>
      <c r="E1210" s="1" t="str">
        <f>"7830"</f>
        <v>7830</v>
      </c>
      <c r="F1210" s="1" t="s">
        <v>1366</v>
      </c>
      <c r="G1210" s="1" t="s">
        <v>1367</v>
      </c>
      <c r="H1210" s="1" t="s">
        <v>15</v>
      </c>
      <c r="I1210" s="3" t="str">
        <f>"1"</f>
        <v>1</v>
      </c>
      <c r="J1210" s="3" t="str">
        <f>"200"</f>
        <v>200</v>
      </c>
      <c r="K1210" s="2">
        <v>45897</v>
      </c>
      <c r="L1210" s="2">
        <v>45906</v>
      </c>
      <c r="M1210" s="1" t="s">
        <v>8154</v>
      </c>
      <c r="N1210" s="1" t="s">
        <v>4343</v>
      </c>
    </row>
    <row r="1211" spans="1:14" x14ac:dyDescent="0.35">
      <c r="A1211" s="1" t="s">
        <v>4321</v>
      </c>
      <c r="B1211" s="3" t="s">
        <v>2720</v>
      </c>
      <c r="C1211" s="1" t="s">
        <v>2765</v>
      </c>
      <c r="D1211" s="1" t="s">
        <v>8153</v>
      </c>
      <c r="E1211" s="1" t="str">
        <f>"2330"</f>
        <v>2330</v>
      </c>
      <c r="F1211" s="1" t="s">
        <v>70</v>
      </c>
      <c r="G1211" s="1" t="s">
        <v>71</v>
      </c>
      <c r="H1211" s="1" t="s">
        <v>15</v>
      </c>
      <c r="I1211" s="3" t="str">
        <f>"1"</f>
        <v>1</v>
      </c>
      <c r="J1211" s="3" t="str">
        <f>"10000"</f>
        <v>10000</v>
      </c>
      <c r="K1211" s="2">
        <v>45896</v>
      </c>
      <c r="L1211" s="2">
        <v>45906</v>
      </c>
      <c r="M1211" s="1" t="s">
        <v>8151</v>
      </c>
      <c r="N1211" s="1" t="s">
        <v>4343</v>
      </c>
    </row>
    <row r="1212" spans="1:14" x14ac:dyDescent="0.35">
      <c r="A1212" s="1" t="s">
        <v>4321</v>
      </c>
      <c r="B1212" s="3" t="s">
        <v>2720</v>
      </c>
      <c r="C1212" s="1" t="s">
        <v>2765</v>
      </c>
      <c r="D1212" s="1" t="s">
        <v>8152</v>
      </c>
      <c r="E1212" s="1" t="str">
        <f>"2330"</f>
        <v>2330</v>
      </c>
      <c r="F1212" s="1" t="s">
        <v>70</v>
      </c>
      <c r="G1212" s="1" t="s">
        <v>71</v>
      </c>
      <c r="H1212" s="1" t="s">
        <v>15</v>
      </c>
      <c r="I1212" s="3" t="str">
        <f>"1"</f>
        <v>1</v>
      </c>
      <c r="J1212" s="3" t="str">
        <f>"10000"</f>
        <v>10000</v>
      </c>
      <c r="K1212" s="2">
        <v>45896</v>
      </c>
      <c r="L1212" s="2">
        <v>45906</v>
      </c>
      <c r="M1212" s="1" t="s">
        <v>8151</v>
      </c>
      <c r="N1212" s="1" t="s">
        <v>4343</v>
      </c>
    </row>
    <row r="1213" spans="1:14" x14ac:dyDescent="0.35">
      <c r="A1213" s="1" t="s">
        <v>4321</v>
      </c>
      <c r="B1213" s="3" t="s">
        <v>691</v>
      </c>
      <c r="C1213" s="1" t="s">
        <v>714</v>
      </c>
      <c r="D1213" s="1" t="s">
        <v>8150</v>
      </c>
      <c r="E1213" s="1" t="str">
        <f>"2320"</f>
        <v>2320</v>
      </c>
      <c r="F1213" s="1" t="str">
        <f>"011762223"</f>
        <v>011762223</v>
      </c>
      <c r="G1213" s="1" t="s">
        <v>117</v>
      </c>
      <c r="H1213" s="1" t="s">
        <v>15</v>
      </c>
      <c r="I1213" s="3" t="str">
        <f>"1"</f>
        <v>1</v>
      </c>
      <c r="J1213" s="3" t="str">
        <f>"33082"</f>
        <v>33082</v>
      </c>
      <c r="K1213" s="2">
        <v>45896</v>
      </c>
      <c r="L1213" s="2">
        <v>45906</v>
      </c>
      <c r="M1213" s="1" t="s">
        <v>8149</v>
      </c>
      <c r="N1213" s="1" t="s">
        <v>8148</v>
      </c>
    </row>
    <row r="1214" spans="1:14" x14ac:dyDescent="0.35">
      <c r="A1214" s="1" t="s">
        <v>4321</v>
      </c>
      <c r="B1214" s="3" t="s">
        <v>1317</v>
      </c>
      <c r="C1214" s="1" t="s">
        <v>1371</v>
      </c>
      <c r="D1214" s="1" t="s">
        <v>8147</v>
      </c>
      <c r="E1214" s="1" t="str">
        <f>"1095"</f>
        <v>1095</v>
      </c>
      <c r="F1214" s="1" t="str">
        <f>"015432189"</f>
        <v>015432189</v>
      </c>
      <c r="G1214" s="1" t="s">
        <v>106</v>
      </c>
      <c r="H1214" s="1" t="s">
        <v>15</v>
      </c>
      <c r="I1214" s="3" t="str">
        <f>"5"</f>
        <v>5</v>
      </c>
      <c r="J1214" s="3" t="str">
        <f>"959"</f>
        <v>959</v>
      </c>
      <c r="K1214" s="2">
        <v>45895</v>
      </c>
      <c r="L1214" s="2">
        <v>45906</v>
      </c>
      <c r="M1214" s="1" t="s">
        <v>8146</v>
      </c>
      <c r="N1214" s="1" t="s">
        <v>8145</v>
      </c>
    </row>
    <row r="1215" spans="1:14" x14ac:dyDescent="0.35">
      <c r="A1215" s="1" t="s">
        <v>4321</v>
      </c>
      <c r="B1215" s="3" t="s">
        <v>1317</v>
      </c>
      <c r="C1215" s="1" t="s">
        <v>1371</v>
      </c>
      <c r="D1215" s="1" t="s">
        <v>8144</v>
      </c>
      <c r="E1215" s="1" t="str">
        <f>"6720"</f>
        <v>6720</v>
      </c>
      <c r="F1215" s="1" t="s">
        <v>443</v>
      </c>
      <c r="G1215" s="1" t="s">
        <v>444</v>
      </c>
      <c r="H1215" s="1" t="s">
        <v>15</v>
      </c>
      <c r="I1215" s="3" t="str">
        <f>"1"</f>
        <v>1</v>
      </c>
      <c r="J1215" s="3" t="str">
        <f>"700"</f>
        <v>700</v>
      </c>
      <c r="K1215" s="2">
        <v>45895</v>
      </c>
      <c r="L1215" s="2">
        <v>45906</v>
      </c>
      <c r="M1215" s="1" t="s">
        <v>8143</v>
      </c>
      <c r="N1215" s="1" t="s">
        <v>8142</v>
      </c>
    </row>
    <row r="1216" spans="1:14" x14ac:dyDescent="0.35">
      <c r="A1216" s="1" t="s">
        <v>4321</v>
      </c>
      <c r="B1216" s="3" t="s">
        <v>93</v>
      </c>
      <c r="C1216" s="1" t="s">
        <v>104</v>
      </c>
      <c r="D1216" s="1" t="s">
        <v>8141</v>
      </c>
      <c r="E1216" s="1" t="str">
        <f>"1940"</f>
        <v>1940</v>
      </c>
      <c r="F1216" s="1" t="s">
        <v>567</v>
      </c>
      <c r="G1216" s="1" t="s">
        <v>568</v>
      </c>
      <c r="H1216" s="1" t="s">
        <v>15</v>
      </c>
      <c r="I1216" s="3" t="str">
        <f>"1"</f>
        <v>1</v>
      </c>
      <c r="J1216" s="3" t="str">
        <f>"6700"</f>
        <v>6700</v>
      </c>
      <c r="K1216" s="2">
        <v>45894</v>
      </c>
      <c r="L1216" s="2">
        <v>45906</v>
      </c>
      <c r="M1216" s="1" t="s">
        <v>8140</v>
      </c>
      <c r="N1216" s="1" t="s">
        <v>8139</v>
      </c>
    </row>
    <row r="1217" spans="1:14" x14ac:dyDescent="0.35">
      <c r="A1217" s="1" t="s">
        <v>4321</v>
      </c>
      <c r="B1217" s="3" t="s">
        <v>4253</v>
      </c>
      <c r="C1217" s="1" t="s">
        <v>4254</v>
      </c>
      <c r="D1217" s="1" t="s">
        <v>8138</v>
      </c>
      <c r="E1217" s="1" t="str">
        <f>"2330"</f>
        <v>2330</v>
      </c>
      <c r="F1217" s="1" t="s">
        <v>70</v>
      </c>
      <c r="G1217" s="1" t="s">
        <v>71</v>
      </c>
      <c r="H1217" s="1" t="s">
        <v>15</v>
      </c>
      <c r="I1217" s="3" t="str">
        <f>"1"</f>
        <v>1</v>
      </c>
      <c r="J1217" s="3" t="str">
        <f>"14555"</f>
        <v>14555</v>
      </c>
      <c r="K1217" s="2">
        <v>45894</v>
      </c>
      <c r="L1217" s="2">
        <v>45906</v>
      </c>
      <c r="M1217" s="1" t="s">
        <v>8137</v>
      </c>
      <c r="N1217" s="1" t="s">
        <v>8136</v>
      </c>
    </row>
    <row r="1218" spans="1:14" x14ac:dyDescent="0.35">
      <c r="A1218" s="1" t="s">
        <v>4321</v>
      </c>
      <c r="B1218" s="3" t="s">
        <v>2638</v>
      </c>
      <c r="C1218" s="1" t="s">
        <v>2645</v>
      </c>
      <c r="D1218" s="1" t="s">
        <v>8135</v>
      </c>
      <c r="E1218" s="1" t="str">
        <f>"5855"</f>
        <v>5855</v>
      </c>
      <c r="F1218" s="1" t="str">
        <f>"014199429"</f>
        <v>014199429</v>
      </c>
      <c r="G1218" s="1" t="s">
        <v>1942</v>
      </c>
      <c r="H1218" s="1" t="s">
        <v>15</v>
      </c>
      <c r="I1218" s="3" t="str">
        <f>"13"</f>
        <v>13</v>
      </c>
      <c r="J1218" s="3" t="str">
        <f>"13610"</f>
        <v>13610</v>
      </c>
      <c r="K1218" s="2">
        <v>45894</v>
      </c>
      <c r="L1218" s="2">
        <v>45906</v>
      </c>
      <c r="M1218" s="1" t="s">
        <v>8134</v>
      </c>
      <c r="N1218" s="1" t="s">
        <v>8133</v>
      </c>
    </row>
    <row r="1219" spans="1:14" x14ac:dyDescent="0.35">
      <c r="A1219" s="1" t="s">
        <v>4321</v>
      </c>
      <c r="B1219" s="3" t="s">
        <v>2987</v>
      </c>
      <c r="C1219" s="1" t="s">
        <v>2991</v>
      </c>
      <c r="D1219" s="1" t="s">
        <v>8132</v>
      </c>
      <c r="E1219" s="1" t="str">
        <f>"5855"</f>
        <v>5855</v>
      </c>
      <c r="F1219" s="1" t="str">
        <f>"014199429"</f>
        <v>014199429</v>
      </c>
      <c r="G1219" s="1" t="s">
        <v>1942</v>
      </c>
      <c r="H1219" s="1" t="s">
        <v>15</v>
      </c>
      <c r="I1219" s="3" t="str">
        <f>"15"</f>
        <v>15</v>
      </c>
      <c r="J1219" s="3" t="str">
        <f>"13610"</f>
        <v>13610</v>
      </c>
      <c r="K1219" s="2">
        <v>45894</v>
      </c>
      <c r="L1219" s="2">
        <v>45906</v>
      </c>
      <c r="M1219" s="1" t="s">
        <v>8131</v>
      </c>
      <c r="N1219" s="1" t="s">
        <v>8130</v>
      </c>
    </row>
    <row r="1220" spans="1:14" x14ac:dyDescent="0.35">
      <c r="A1220" s="1" t="s">
        <v>4321</v>
      </c>
      <c r="B1220" s="3" t="s">
        <v>2248</v>
      </c>
      <c r="C1220" s="1" t="s">
        <v>2265</v>
      </c>
      <c r="D1220" s="1" t="s">
        <v>8129</v>
      </c>
      <c r="E1220" s="1" t="str">
        <f>"5855"</f>
        <v>5855</v>
      </c>
      <c r="F1220" s="1" t="str">
        <f>"016910312"</f>
        <v>016910312</v>
      </c>
      <c r="G1220" s="1" t="s">
        <v>2117</v>
      </c>
      <c r="H1220" s="1" t="s">
        <v>15</v>
      </c>
      <c r="I1220" s="3" t="str">
        <f>"1"</f>
        <v>1</v>
      </c>
      <c r="J1220" s="3">
        <v>2665.55</v>
      </c>
      <c r="K1220" s="2">
        <v>45894</v>
      </c>
      <c r="L1220" s="2">
        <v>45906</v>
      </c>
      <c r="M1220" s="1" t="s">
        <v>8126</v>
      </c>
      <c r="N1220" s="1" t="s">
        <v>8128</v>
      </c>
    </row>
    <row r="1221" spans="1:14" x14ac:dyDescent="0.35">
      <c r="A1221" s="1" t="s">
        <v>4321</v>
      </c>
      <c r="B1221" s="3" t="s">
        <v>2248</v>
      </c>
      <c r="C1221" s="1" t="s">
        <v>2265</v>
      </c>
      <c r="D1221" s="1" t="s">
        <v>8127</v>
      </c>
      <c r="E1221" s="1" t="str">
        <f>"5855"</f>
        <v>5855</v>
      </c>
      <c r="F1221" s="1" t="str">
        <f>"014199429"</f>
        <v>014199429</v>
      </c>
      <c r="G1221" s="1" t="s">
        <v>1942</v>
      </c>
      <c r="H1221" s="1" t="s">
        <v>15</v>
      </c>
      <c r="I1221" s="3" t="str">
        <f>"20"</f>
        <v>20</v>
      </c>
      <c r="J1221" s="3" t="str">
        <f>"13610"</f>
        <v>13610</v>
      </c>
      <c r="K1221" s="2">
        <v>45894</v>
      </c>
      <c r="L1221" s="2">
        <v>45906</v>
      </c>
      <c r="M1221" s="1" t="s">
        <v>8126</v>
      </c>
      <c r="N1221" s="1" t="s">
        <v>8125</v>
      </c>
    </row>
    <row r="1222" spans="1:14" x14ac:dyDescent="0.35">
      <c r="A1222" s="1" t="s">
        <v>4321</v>
      </c>
      <c r="B1222" s="3" t="s">
        <v>3183</v>
      </c>
      <c r="C1222" s="1" t="s">
        <v>3241</v>
      </c>
      <c r="D1222" s="1" t="s">
        <v>8124</v>
      </c>
      <c r="E1222" s="1" t="str">
        <f>"2330"</f>
        <v>2330</v>
      </c>
      <c r="F1222" s="1" t="s">
        <v>70</v>
      </c>
      <c r="G1222" s="1" t="s">
        <v>71</v>
      </c>
      <c r="H1222" s="1" t="s">
        <v>15</v>
      </c>
      <c r="I1222" s="3" t="str">
        <f>"1"</f>
        <v>1</v>
      </c>
      <c r="J1222" s="3" t="str">
        <f>"14555"</f>
        <v>14555</v>
      </c>
      <c r="K1222" s="2">
        <v>45894</v>
      </c>
      <c r="L1222" s="2">
        <v>45906</v>
      </c>
      <c r="M1222" s="1" t="s">
        <v>8123</v>
      </c>
      <c r="N1222" s="1" t="s">
        <v>8122</v>
      </c>
    </row>
    <row r="1223" spans="1:14" x14ac:dyDescent="0.35">
      <c r="A1223" s="1" t="s">
        <v>4321</v>
      </c>
      <c r="B1223" s="3" t="s">
        <v>93</v>
      </c>
      <c r="C1223" s="1" t="s">
        <v>8121</v>
      </c>
      <c r="D1223" s="1" t="s">
        <v>8120</v>
      </c>
      <c r="E1223" s="1" t="str">
        <f>"1940"</f>
        <v>1940</v>
      </c>
      <c r="F1223" s="1" t="s">
        <v>567</v>
      </c>
      <c r="G1223" s="1" t="s">
        <v>568</v>
      </c>
      <c r="H1223" s="1" t="s">
        <v>15</v>
      </c>
      <c r="I1223" s="3" t="str">
        <f>"1"</f>
        <v>1</v>
      </c>
      <c r="J1223" s="3" t="str">
        <f>"6700"</f>
        <v>6700</v>
      </c>
      <c r="K1223" s="2">
        <v>45894</v>
      </c>
      <c r="L1223" s="2">
        <v>45906</v>
      </c>
      <c r="M1223" s="1" t="s">
        <v>8119</v>
      </c>
      <c r="N1223" s="1" t="s">
        <v>8118</v>
      </c>
    </row>
    <row r="1224" spans="1:14" x14ac:dyDescent="0.35">
      <c r="A1224" s="1" t="s">
        <v>4321</v>
      </c>
      <c r="B1224" s="3" t="s">
        <v>3513</v>
      </c>
      <c r="C1224" s="1" t="s">
        <v>3770</v>
      </c>
      <c r="D1224" s="1" t="s">
        <v>8117</v>
      </c>
      <c r="E1224" s="1" t="str">
        <f>"3750"</f>
        <v>3750</v>
      </c>
      <c r="F1224" s="1" t="s">
        <v>392</v>
      </c>
      <c r="G1224" s="1" t="s">
        <v>393</v>
      </c>
      <c r="H1224" s="1" t="s">
        <v>15</v>
      </c>
      <c r="I1224" s="3" t="str">
        <f>"1"</f>
        <v>1</v>
      </c>
      <c r="J1224" s="3" t="str">
        <f>"3099"</f>
        <v>3099</v>
      </c>
      <c r="K1224" s="2">
        <v>45894</v>
      </c>
      <c r="L1224" s="2">
        <v>45906</v>
      </c>
      <c r="M1224" s="1" t="s">
        <v>8116</v>
      </c>
      <c r="N1224" s="1" t="s">
        <v>8115</v>
      </c>
    </row>
    <row r="1225" spans="1:14" x14ac:dyDescent="0.35">
      <c r="A1225" s="1" t="s">
        <v>4321</v>
      </c>
      <c r="B1225" s="3" t="s">
        <v>2638</v>
      </c>
      <c r="C1225" s="1" t="s">
        <v>2666</v>
      </c>
      <c r="D1225" s="1" t="s">
        <v>8114</v>
      </c>
      <c r="E1225" s="1" t="str">
        <f>"5855"</f>
        <v>5855</v>
      </c>
      <c r="F1225" s="1" t="str">
        <f>"014199429"</f>
        <v>014199429</v>
      </c>
      <c r="G1225" s="1" t="s">
        <v>1942</v>
      </c>
      <c r="H1225" s="1" t="s">
        <v>15</v>
      </c>
      <c r="I1225" s="3" t="str">
        <f>"8"</f>
        <v>8</v>
      </c>
      <c r="J1225" s="3" t="str">
        <f>"13610"</f>
        <v>13610</v>
      </c>
      <c r="K1225" s="2">
        <v>45894</v>
      </c>
      <c r="L1225" s="2">
        <v>45906</v>
      </c>
      <c r="M1225" s="1" t="s">
        <v>8113</v>
      </c>
      <c r="N1225" s="1" t="s">
        <v>8112</v>
      </c>
    </row>
    <row r="1226" spans="1:14" x14ac:dyDescent="0.35">
      <c r="A1226" s="1" t="s">
        <v>4321</v>
      </c>
      <c r="B1226" s="3" t="s">
        <v>1699</v>
      </c>
      <c r="C1226" s="1" t="s">
        <v>8111</v>
      </c>
      <c r="D1226" s="1" t="s">
        <v>8110</v>
      </c>
      <c r="E1226" s="1" t="str">
        <f>"1940"</f>
        <v>1940</v>
      </c>
      <c r="F1226" s="1" t="s">
        <v>567</v>
      </c>
      <c r="G1226" s="1" t="s">
        <v>568</v>
      </c>
      <c r="H1226" s="1" t="s">
        <v>15</v>
      </c>
      <c r="I1226" s="3" t="str">
        <f>"1"</f>
        <v>1</v>
      </c>
      <c r="J1226" s="3" t="str">
        <f>"6700"</f>
        <v>6700</v>
      </c>
      <c r="K1226" s="2">
        <v>45894</v>
      </c>
      <c r="L1226" s="2">
        <v>45906</v>
      </c>
      <c r="M1226" s="1" t="s">
        <v>8109</v>
      </c>
      <c r="N1226" s="1" t="s">
        <v>8108</v>
      </c>
    </row>
    <row r="1227" spans="1:14" x14ac:dyDescent="0.35">
      <c r="A1227" s="1" t="s">
        <v>4321</v>
      </c>
      <c r="B1227" s="3" t="s">
        <v>2145</v>
      </c>
      <c r="C1227" s="1" t="s">
        <v>2220</v>
      </c>
      <c r="D1227" s="1" t="s">
        <v>8107</v>
      </c>
      <c r="E1227" s="1" t="str">
        <f>"2330"</f>
        <v>2330</v>
      </c>
      <c r="F1227" s="1" t="s">
        <v>70</v>
      </c>
      <c r="G1227" s="1" t="s">
        <v>71</v>
      </c>
      <c r="H1227" s="1" t="s">
        <v>15</v>
      </c>
      <c r="I1227" s="3" t="str">
        <f>"1"</f>
        <v>1</v>
      </c>
      <c r="J1227" s="3" t="str">
        <f>"14555"</f>
        <v>14555</v>
      </c>
      <c r="K1227" s="2">
        <v>45894</v>
      </c>
      <c r="L1227" s="2">
        <v>45906</v>
      </c>
      <c r="M1227" s="1" t="s">
        <v>8106</v>
      </c>
      <c r="N1227" s="1" t="s">
        <v>8105</v>
      </c>
    </row>
    <row r="1228" spans="1:14" x14ac:dyDescent="0.35">
      <c r="A1228" s="1" t="s">
        <v>4321</v>
      </c>
      <c r="B1228" s="3" t="s">
        <v>2145</v>
      </c>
      <c r="C1228" s="1" t="s">
        <v>2220</v>
      </c>
      <c r="D1228" s="1" t="s">
        <v>8104</v>
      </c>
      <c r="E1228" s="1" t="str">
        <f>"2310"</f>
        <v>2310</v>
      </c>
      <c r="F1228" s="1" t="str">
        <f>"016231545"</f>
        <v>016231545</v>
      </c>
      <c r="G1228" s="1" t="s">
        <v>3156</v>
      </c>
      <c r="H1228" s="1" t="s">
        <v>15</v>
      </c>
      <c r="I1228" s="3" t="str">
        <f>"1"</f>
        <v>1</v>
      </c>
      <c r="J1228" s="3" t="str">
        <f>"32000"</f>
        <v>32000</v>
      </c>
      <c r="K1228" s="2">
        <v>45894</v>
      </c>
      <c r="L1228" s="2">
        <v>45906</v>
      </c>
      <c r="M1228" s="1" t="s">
        <v>8103</v>
      </c>
      <c r="N1228" s="1" t="s">
        <v>8102</v>
      </c>
    </row>
    <row r="1229" spans="1:14" x14ac:dyDescent="0.35">
      <c r="A1229" s="1" t="s">
        <v>4321</v>
      </c>
      <c r="B1229" s="3" t="s">
        <v>2145</v>
      </c>
      <c r="C1229" s="1" t="s">
        <v>2237</v>
      </c>
      <c r="D1229" s="1" t="s">
        <v>8101</v>
      </c>
      <c r="E1229" s="1" t="str">
        <f>"2330"</f>
        <v>2330</v>
      </c>
      <c r="F1229" s="1" t="s">
        <v>70</v>
      </c>
      <c r="G1229" s="1" t="s">
        <v>71</v>
      </c>
      <c r="H1229" s="1" t="s">
        <v>15</v>
      </c>
      <c r="I1229" s="3" t="str">
        <f>"1"</f>
        <v>1</v>
      </c>
      <c r="J1229" s="3" t="str">
        <f>"14555"</f>
        <v>14555</v>
      </c>
      <c r="K1229" s="2">
        <v>45894</v>
      </c>
      <c r="L1229" s="2">
        <v>45906</v>
      </c>
      <c r="M1229" s="1" t="s">
        <v>8100</v>
      </c>
      <c r="N1229" s="1" t="s">
        <v>8099</v>
      </c>
    </row>
    <row r="1230" spans="1:14" x14ac:dyDescent="0.35">
      <c r="A1230" s="1" t="s">
        <v>4321</v>
      </c>
      <c r="B1230" s="3" t="s">
        <v>806</v>
      </c>
      <c r="C1230" s="1" t="s">
        <v>1079</v>
      </c>
      <c r="D1230" s="1" t="s">
        <v>8098</v>
      </c>
      <c r="E1230" s="1" t="str">
        <f>"5130"</f>
        <v>5130</v>
      </c>
      <c r="F1230" s="1" t="str">
        <f>"003575136"</f>
        <v>003575136</v>
      </c>
      <c r="G1230" s="1" t="s">
        <v>1163</v>
      </c>
      <c r="H1230" s="1" t="s">
        <v>58</v>
      </c>
      <c r="I1230" s="3" t="str">
        <f>"2"</f>
        <v>2</v>
      </c>
      <c r="J1230" s="3">
        <v>863.57</v>
      </c>
      <c r="K1230" s="2">
        <v>45894</v>
      </c>
      <c r="L1230" s="2">
        <v>45906</v>
      </c>
      <c r="M1230" s="1" t="s">
        <v>8097</v>
      </c>
      <c r="N1230" s="1" t="s">
        <v>8096</v>
      </c>
    </row>
    <row r="1231" spans="1:14" x14ac:dyDescent="0.35">
      <c r="A1231" s="1" t="s">
        <v>4321</v>
      </c>
      <c r="B1231" s="3" t="s">
        <v>3183</v>
      </c>
      <c r="C1231" s="1" t="s">
        <v>7863</v>
      </c>
      <c r="D1231" s="1" t="s">
        <v>8095</v>
      </c>
      <c r="E1231" s="1" t="str">
        <f>"2310"</f>
        <v>2310</v>
      </c>
      <c r="F1231" s="1" t="str">
        <f>"016231545"</f>
        <v>016231545</v>
      </c>
      <c r="G1231" s="1" t="s">
        <v>3156</v>
      </c>
      <c r="H1231" s="1" t="s">
        <v>15</v>
      </c>
      <c r="I1231" s="3" t="str">
        <f>"1"</f>
        <v>1</v>
      </c>
      <c r="J1231" s="3" t="str">
        <f>"32000"</f>
        <v>32000</v>
      </c>
      <c r="K1231" s="2">
        <v>45894</v>
      </c>
      <c r="L1231" s="2">
        <v>45906</v>
      </c>
      <c r="M1231" s="1" t="s">
        <v>8094</v>
      </c>
      <c r="N1231" s="1" t="s">
        <v>8093</v>
      </c>
    </row>
    <row r="1232" spans="1:14" x14ac:dyDescent="0.35">
      <c r="A1232" s="1" t="s">
        <v>4321</v>
      </c>
      <c r="B1232" s="3" t="s">
        <v>3183</v>
      </c>
      <c r="C1232" s="1" t="s">
        <v>7863</v>
      </c>
      <c r="D1232" s="1" t="s">
        <v>8092</v>
      </c>
      <c r="E1232" s="1" t="str">
        <f>"5855"</f>
        <v>5855</v>
      </c>
      <c r="F1232" s="1" t="str">
        <f>"014199429"</f>
        <v>014199429</v>
      </c>
      <c r="G1232" s="1" t="s">
        <v>1942</v>
      </c>
      <c r="H1232" s="1" t="s">
        <v>15</v>
      </c>
      <c r="I1232" s="3" t="str">
        <f>"10"</f>
        <v>10</v>
      </c>
      <c r="J1232" s="3" t="str">
        <f>"13610"</f>
        <v>13610</v>
      </c>
      <c r="K1232" s="2">
        <v>45894</v>
      </c>
      <c r="L1232" s="2">
        <v>45906</v>
      </c>
      <c r="M1232" s="1" t="s">
        <v>8091</v>
      </c>
      <c r="N1232" s="1" t="s">
        <v>8090</v>
      </c>
    </row>
    <row r="1233" spans="1:14" x14ac:dyDescent="0.35">
      <c r="A1233" s="1" t="s">
        <v>4321</v>
      </c>
      <c r="B1233" s="3" t="s">
        <v>1857</v>
      </c>
      <c r="C1233" s="1" t="s">
        <v>1869</v>
      </c>
      <c r="D1233" s="1" t="s">
        <v>8089</v>
      </c>
      <c r="E1233" s="1" t="str">
        <f>"2330"</f>
        <v>2330</v>
      </c>
      <c r="F1233" s="1" t="s">
        <v>70</v>
      </c>
      <c r="G1233" s="1" t="s">
        <v>71</v>
      </c>
      <c r="H1233" s="1" t="s">
        <v>15</v>
      </c>
      <c r="I1233" s="3" t="str">
        <f>"1"</f>
        <v>1</v>
      </c>
      <c r="J1233" s="3" t="str">
        <f>"14555"</f>
        <v>14555</v>
      </c>
      <c r="K1233" s="2">
        <v>45893</v>
      </c>
      <c r="L1233" s="2">
        <v>45906</v>
      </c>
      <c r="M1233" s="1" t="s">
        <v>8088</v>
      </c>
      <c r="N1233" s="1" t="s">
        <v>8087</v>
      </c>
    </row>
    <row r="1234" spans="1:14" x14ac:dyDescent="0.35">
      <c r="A1234" s="1" t="s">
        <v>4321</v>
      </c>
      <c r="B1234" s="3" t="s">
        <v>93</v>
      </c>
      <c r="C1234" s="1" t="s">
        <v>267</v>
      </c>
      <c r="D1234" s="1" t="s">
        <v>8086</v>
      </c>
      <c r="E1234" s="1" t="str">
        <f>"2310"</f>
        <v>2310</v>
      </c>
      <c r="F1234" s="1" t="str">
        <f>"016231545"</f>
        <v>016231545</v>
      </c>
      <c r="G1234" s="1" t="s">
        <v>3156</v>
      </c>
      <c r="H1234" s="1" t="s">
        <v>15</v>
      </c>
      <c r="I1234" s="3" t="str">
        <f>"1"</f>
        <v>1</v>
      </c>
      <c r="J1234" s="3" t="str">
        <f>"32000"</f>
        <v>32000</v>
      </c>
      <c r="K1234" s="2">
        <v>45893</v>
      </c>
      <c r="L1234" s="2">
        <v>45906</v>
      </c>
      <c r="M1234" s="1" t="s">
        <v>8085</v>
      </c>
      <c r="N1234" s="1" t="s">
        <v>8084</v>
      </c>
    </row>
    <row r="1235" spans="1:14" x14ac:dyDescent="0.35">
      <c r="A1235" s="1" t="s">
        <v>4321</v>
      </c>
      <c r="B1235" s="3" t="s">
        <v>93</v>
      </c>
      <c r="C1235" s="1" t="s">
        <v>267</v>
      </c>
      <c r="D1235" s="1" t="s">
        <v>8083</v>
      </c>
      <c r="E1235" s="1" t="str">
        <f>"2320"</f>
        <v>2320</v>
      </c>
      <c r="F1235" s="1" t="str">
        <f>"004634580"</f>
        <v>004634580</v>
      </c>
      <c r="G1235" s="1" t="s">
        <v>1448</v>
      </c>
      <c r="H1235" s="1" t="s">
        <v>15</v>
      </c>
      <c r="I1235" s="3" t="str">
        <f>"1"</f>
        <v>1</v>
      </c>
      <c r="J1235" s="3" t="str">
        <f>"99120"</f>
        <v>99120</v>
      </c>
      <c r="K1235" s="2">
        <v>45893</v>
      </c>
      <c r="L1235" s="2">
        <v>45906</v>
      </c>
      <c r="M1235" s="1" t="s">
        <v>8082</v>
      </c>
      <c r="N1235" s="1" t="s">
        <v>8081</v>
      </c>
    </row>
    <row r="1236" spans="1:14" x14ac:dyDescent="0.35">
      <c r="A1236" s="1" t="s">
        <v>4321</v>
      </c>
      <c r="B1236" s="3" t="s">
        <v>93</v>
      </c>
      <c r="C1236" s="1" t="s">
        <v>369</v>
      </c>
      <c r="D1236" s="1" t="s">
        <v>8080</v>
      </c>
      <c r="E1236" s="1" t="str">
        <f>"2310"</f>
        <v>2310</v>
      </c>
      <c r="F1236" s="1" t="str">
        <f>"016231545"</f>
        <v>016231545</v>
      </c>
      <c r="G1236" s="1" t="s">
        <v>3156</v>
      </c>
      <c r="H1236" s="1" t="s">
        <v>15</v>
      </c>
      <c r="I1236" s="3" t="str">
        <f>"1"</f>
        <v>1</v>
      </c>
      <c r="J1236" s="3" t="str">
        <f>"32000"</f>
        <v>32000</v>
      </c>
      <c r="K1236" s="2">
        <v>45893</v>
      </c>
      <c r="L1236" s="2">
        <v>45906</v>
      </c>
      <c r="M1236" s="1" t="s">
        <v>8079</v>
      </c>
      <c r="N1236" s="1" t="s">
        <v>8078</v>
      </c>
    </row>
    <row r="1237" spans="1:14" x14ac:dyDescent="0.35">
      <c r="A1237" s="1" t="s">
        <v>4321</v>
      </c>
      <c r="B1237" s="3" t="s">
        <v>3513</v>
      </c>
      <c r="C1237" s="1" t="s">
        <v>3514</v>
      </c>
      <c r="D1237" s="1" t="s">
        <v>8077</v>
      </c>
      <c r="E1237" s="1" t="str">
        <f>"3930"</f>
        <v>3930</v>
      </c>
      <c r="F1237" s="1" t="str">
        <f>"012230297"</f>
        <v>012230297</v>
      </c>
      <c r="G1237" s="1" t="s">
        <v>2176</v>
      </c>
      <c r="H1237" s="1" t="s">
        <v>15</v>
      </c>
      <c r="I1237" s="3" t="str">
        <f>"1"</f>
        <v>1</v>
      </c>
      <c r="J1237" s="3" t="str">
        <f>"23410"</f>
        <v>23410</v>
      </c>
      <c r="K1237" s="2">
        <v>45892</v>
      </c>
      <c r="L1237" s="2">
        <v>45906</v>
      </c>
      <c r="M1237" s="1" t="s">
        <v>8076</v>
      </c>
      <c r="N1237" s="1" t="s">
        <v>8075</v>
      </c>
    </row>
    <row r="1238" spans="1:14" x14ac:dyDescent="0.35">
      <c r="A1238" s="1" t="s">
        <v>4321</v>
      </c>
      <c r="B1238" s="3" t="s">
        <v>4253</v>
      </c>
      <c r="C1238" s="1" t="s">
        <v>4254</v>
      </c>
      <c r="D1238" s="1" t="s">
        <v>8074</v>
      </c>
      <c r="E1238" s="1" t="str">
        <f>"2310"</f>
        <v>2310</v>
      </c>
      <c r="F1238" s="1" t="str">
        <f>"016231545"</f>
        <v>016231545</v>
      </c>
      <c r="G1238" s="1" t="s">
        <v>3156</v>
      </c>
      <c r="H1238" s="1" t="s">
        <v>15</v>
      </c>
      <c r="I1238" s="3" t="str">
        <f>"1"</f>
        <v>1</v>
      </c>
      <c r="J1238" s="3" t="str">
        <f>"32000"</f>
        <v>32000</v>
      </c>
      <c r="K1238" s="2">
        <v>45892</v>
      </c>
      <c r="L1238" s="2">
        <v>45906</v>
      </c>
      <c r="M1238" s="1" t="s">
        <v>8073</v>
      </c>
      <c r="N1238" s="1" t="s">
        <v>8072</v>
      </c>
    </row>
    <row r="1239" spans="1:14" x14ac:dyDescent="0.35">
      <c r="A1239" s="1" t="s">
        <v>4321</v>
      </c>
      <c r="B1239" s="3" t="s">
        <v>3183</v>
      </c>
      <c r="C1239" s="1" t="s">
        <v>3184</v>
      </c>
      <c r="D1239" s="1" t="s">
        <v>8071</v>
      </c>
      <c r="E1239" s="1" t="str">
        <f>"2320"</f>
        <v>2320</v>
      </c>
      <c r="F1239" s="1" t="s">
        <v>274</v>
      </c>
      <c r="G1239" s="1" t="s">
        <v>275</v>
      </c>
      <c r="H1239" s="1" t="s">
        <v>15</v>
      </c>
      <c r="I1239" s="3" t="str">
        <f>"1"</f>
        <v>1</v>
      </c>
      <c r="J1239" s="3" t="str">
        <f>"54826"</f>
        <v>54826</v>
      </c>
      <c r="K1239" s="2">
        <v>45892</v>
      </c>
      <c r="L1239" s="2">
        <v>45906</v>
      </c>
      <c r="M1239" s="1" t="s">
        <v>8070</v>
      </c>
      <c r="N1239" s="1" t="s">
        <v>8069</v>
      </c>
    </row>
    <row r="1240" spans="1:14" x14ac:dyDescent="0.35">
      <c r="A1240" s="1" t="s">
        <v>4321</v>
      </c>
      <c r="B1240" s="3" t="s">
        <v>3183</v>
      </c>
      <c r="C1240" s="1" t="s">
        <v>3184</v>
      </c>
      <c r="D1240" s="1" t="s">
        <v>8068</v>
      </c>
      <c r="E1240" s="1" t="str">
        <f>"2320"</f>
        <v>2320</v>
      </c>
      <c r="F1240" s="1" t="str">
        <f>"004634580"</f>
        <v>004634580</v>
      </c>
      <c r="G1240" s="1" t="s">
        <v>1448</v>
      </c>
      <c r="H1240" s="1" t="s">
        <v>15</v>
      </c>
      <c r="I1240" s="3" t="str">
        <f>"1"</f>
        <v>1</v>
      </c>
      <c r="J1240" s="3" t="str">
        <f>"99120"</f>
        <v>99120</v>
      </c>
      <c r="K1240" s="2">
        <v>45892</v>
      </c>
      <c r="L1240" s="2">
        <v>45906</v>
      </c>
      <c r="M1240" s="1" t="s">
        <v>8067</v>
      </c>
      <c r="N1240" s="1" t="s">
        <v>8066</v>
      </c>
    </row>
    <row r="1241" spans="1:14" x14ac:dyDescent="0.35">
      <c r="A1241" s="1" t="s">
        <v>4321</v>
      </c>
      <c r="B1241" s="3" t="s">
        <v>2114</v>
      </c>
      <c r="C1241" s="1" t="s">
        <v>2115</v>
      </c>
      <c r="D1241" s="1" t="s">
        <v>8065</v>
      </c>
      <c r="E1241" s="1" t="str">
        <f>"5855"</f>
        <v>5855</v>
      </c>
      <c r="F1241" s="1" t="str">
        <f>"014199429"</f>
        <v>014199429</v>
      </c>
      <c r="G1241" s="1" t="s">
        <v>1942</v>
      </c>
      <c r="H1241" s="1" t="s">
        <v>15</v>
      </c>
      <c r="I1241" s="3" t="str">
        <f>"10"</f>
        <v>10</v>
      </c>
      <c r="J1241" s="3" t="str">
        <f>"13610"</f>
        <v>13610</v>
      </c>
      <c r="K1241" s="2">
        <v>45892</v>
      </c>
      <c r="L1241" s="2">
        <v>45906</v>
      </c>
      <c r="M1241" s="1" t="s">
        <v>8064</v>
      </c>
      <c r="N1241" s="1" t="s">
        <v>8063</v>
      </c>
    </row>
    <row r="1242" spans="1:14" x14ac:dyDescent="0.35">
      <c r="A1242" s="1" t="s">
        <v>4321</v>
      </c>
      <c r="B1242" s="3" t="s">
        <v>2145</v>
      </c>
      <c r="C1242" s="1" t="s">
        <v>2153</v>
      </c>
      <c r="D1242" s="1" t="s">
        <v>8062</v>
      </c>
      <c r="E1242" s="1" t="str">
        <f>"2330"</f>
        <v>2330</v>
      </c>
      <c r="F1242" s="1" t="s">
        <v>70</v>
      </c>
      <c r="G1242" s="1" t="s">
        <v>71</v>
      </c>
      <c r="H1242" s="1" t="s">
        <v>15</v>
      </c>
      <c r="I1242" s="3" t="str">
        <f>"1"</f>
        <v>1</v>
      </c>
      <c r="J1242" s="3" t="str">
        <f>"14555"</f>
        <v>14555</v>
      </c>
      <c r="K1242" s="2">
        <v>45892</v>
      </c>
      <c r="L1242" s="2">
        <v>45906</v>
      </c>
      <c r="M1242" s="1" t="s">
        <v>8061</v>
      </c>
      <c r="N1242" s="1" t="s">
        <v>8060</v>
      </c>
    </row>
    <row r="1243" spans="1:14" x14ac:dyDescent="0.35">
      <c r="A1243" s="1" t="s">
        <v>4321</v>
      </c>
      <c r="B1243" s="3" t="s">
        <v>2000</v>
      </c>
      <c r="C1243" s="1" t="s">
        <v>2078</v>
      </c>
      <c r="D1243" s="1" t="s">
        <v>8059</v>
      </c>
      <c r="E1243" s="1" t="str">
        <f>"1940"</f>
        <v>1940</v>
      </c>
      <c r="F1243" s="1" t="s">
        <v>567</v>
      </c>
      <c r="G1243" s="1" t="s">
        <v>568</v>
      </c>
      <c r="H1243" s="1" t="s">
        <v>15</v>
      </c>
      <c r="I1243" s="3" t="str">
        <f>"1"</f>
        <v>1</v>
      </c>
      <c r="J1243" s="3" t="str">
        <f>"6700"</f>
        <v>6700</v>
      </c>
      <c r="K1243" s="2">
        <v>45892</v>
      </c>
      <c r="L1243" s="2">
        <v>45906</v>
      </c>
      <c r="M1243" s="1" t="s">
        <v>8058</v>
      </c>
      <c r="N1243" s="1" t="s">
        <v>8057</v>
      </c>
    </row>
    <row r="1244" spans="1:14" x14ac:dyDescent="0.35">
      <c r="A1244" s="1" t="s">
        <v>4321</v>
      </c>
      <c r="B1244" s="3" t="s">
        <v>3183</v>
      </c>
      <c r="C1244" s="1" t="s">
        <v>3435</v>
      </c>
      <c r="D1244" s="1" t="s">
        <v>8056</v>
      </c>
      <c r="E1244" s="1" t="str">
        <f>"2320"</f>
        <v>2320</v>
      </c>
      <c r="F1244" s="1" t="s">
        <v>321</v>
      </c>
      <c r="G1244" s="1" t="s">
        <v>322</v>
      </c>
      <c r="H1244" s="1" t="s">
        <v>15</v>
      </c>
      <c r="I1244" s="3" t="str">
        <f>"1"</f>
        <v>1</v>
      </c>
      <c r="J1244" s="3" t="str">
        <f>"650000"</f>
        <v>650000</v>
      </c>
      <c r="K1244" s="2">
        <v>45892</v>
      </c>
      <c r="L1244" s="2">
        <v>45906</v>
      </c>
      <c r="M1244" s="1" t="s">
        <v>8055</v>
      </c>
      <c r="N1244" s="1" t="s">
        <v>8054</v>
      </c>
    </row>
    <row r="1245" spans="1:14" x14ac:dyDescent="0.35">
      <c r="A1245" s="1" t="s">
        <v>4321</v>
      </c>
      <c r="B1245" s="3" t="s">
        <v>3183</v>
      </c>
      <c r="C1245" s="1" t="s">
        <v>3435</v>
      </c>
      <c r="D1245" s="1" t="s">
        <v>8053</v>
      </c>
      <c r="E1245" s="1" t="str">
        <f>"1940"</f>
        <v>1940</v>
      </c>
      <c r="F1245" s="1" t="s">
        <v>567</v>
      </c>
      <c r="G1245" s="1" t="s">
        <v>568</v>
      </c>
      <c r="H1245" s="1" t="s">
        <v>15</v>
      </c>
      <c r="I1245" s="3" t="str">
        <f>"1"</f>
        <v>1</v>
      </c>
      <c r="J1245" s="3" t="str">
        <f>"6700"</f>
        <v>6700</v>
      </c>
      <c r="K1245" s="2">
        <v>45892</v>
      </c>
      <c r="L1245" s="2">
        <v>45906</v>
      </c>
      <c r="M1245" s="1" t="s">
        <v>8052</v>
      </c>
      <c r="N1245" s="1" t="s">
        <v>8051</v>
      </c>
    </row>
    <row r="1246" spans="1:14" x14ac:dyDescent="0.35">
      <c r="A1246" s="1" t="s">
        <v>4321</v>
      </c>
      <c r="B1246" s="3" t="s">
        <v>3183</v>
      </c>
      <c r="C1246" s="1" t="s">
        <v>3487</v>
      </c>
      <c r="D1246" s="1" t="s">
        <v>8050</v>
      </c>
      <c r="E1246" s="1" t="str">
        <f>"2320"</f>
        <v>2320</v>
      </c>
      <c r="F1246" s="1" t="s">
        <v>274</v>
      </c>
      <c r="G1246" s="1" t="s">
        <v>275</v>
      </c>
      <c r="H1246" s="1" t="s">
        <v>15</v>
      </c>
      <c r="I1246" s="3" t="str">
        <f>"1"</f>
        <v>1</v>
      </c>
      <c r="J1246" s="3" t="str">
        <f>"54826"</f>
        <v>54826</v>
      </c>
      <c r="K1246" s="2">
        <v>45892</v>
      </c>
      <c r="L1246" s="2">
        <v>45906</v>
      </c>
      <c r="M1246" s="1" t="s">
        <v>8049</v>
      </c>
      <c r="N1246" s="1" t="s">
        <v>8048</v>
      </c>
    </row>
    <row r="1247" spans="1:14" x14ac:dyDescent="0.35">
      <c r="A1247" s="1" t="s">
        <v>4321</v>
      </c>
      <c r="B1247" s="3" t="s">
        <v>93</v>
      </c>
      <c r="C1247" s="1" t="s">
        <v>450</v>
      </c>
      <c r="D1247" s="1" t="s">
        <v>8047</v>
      </c>
      <c r="E1247" s="1" t="str">
        <f>"2320"</f>
        <v>2320</v>
      </c>
      <c r="F1247" s="1" t="s">
        <v>321</v>
      </c>
      <c r="G1247" s="1" t="s">
        <v>322</v>
      </c>
      <c r="H1247" s="1" t="s">
        <v>15</v>
      </c>
      <c r="I1247" s="3" t="str">
        <f>"1"</f>
        <v>1</v>
      </c>
      <c r="J1247" s="3" t="str">
        <f>"650000"</f>
        <v>650000</v>
      </c>
      <c r="K1247" s="2">
        <v>45892</v>
      </c>
      <c r="L1247" s="2">
        <v>45906</v>
      </c>
      <c r="M1247" s="1" t="s">
        <v>8046</v>
      </c>
      <c r="N1247" s="1" t="s">
        <v>8045</v>
      </c>
    </row>
    <row r="1248" spans="1:14" x14ac:dyDescent="0.35">
      <c r="A1248" s="1" t="s">
        <v>4321</v>
      </c>
      <c r="B1248" s="3" t="s">
        <v>1445</v>
      </c>
      <c r="C1248" s="1" t="s">
        <v>1459</v>
      </c>
      <c r="D1248" s="1" t="s">
        <v>8044</v>
      </c>
      <c r="E1248" s="1" t="str">
        <f>"5410"</f>
        <v>5410</v>
      </c>
      <c r="F1248" s="1" t="str">
        <f>"016030218"</f>
        <v>016030218</v>
      </c>
      <c r="G1248" s="1" t="s">
        <v>5708</v>
      </c>
      <c r="H1248" s="1" t="s">
        <v>15</v>
      </c>
      <c r="I1248" s="3" t="str">
        <f>"2"</f>
        <v>2</v>
      </c>
      <c r="J1248" s="3" t="str">
        <f>"2545"</f>
        <v>2545</v>
      </c>
      <c r="K1248" s="2">
        <v>45822</v>
      </c>
      <c r="L1248" s="2">
        <v>45906</v>
      </c>
      <c r="M1248" s="1" t="s">
        <v>8043</v>
      </c>
      <c r="N1248" s="1" t="s">
        <v>8042</v>
      </c>
    </row>
    <row r="1249" spans="1:14" x14ac:dyDescent="0.35">
      <c r="A1249" s="1" t="s">
        <v>4321</v>
      </c>
      <c r="B1249" s="3" t="s">
        <v>3183</v>
      </c>
      <c r="C1249" s="1" t="s">
        <v>3376</v>
      </c>
      <c r="D1249" s="1" t="s">
        <v>8041</v>
      </c>
      <c r="E1249" s="1" t="str">
        <f>"7830"</f>
        <v>7830</v>
      </c>
      <c r="F1249" s="1" t="s">
        <v>89</v>
      </c>
      <c r="G1249" s="1" t="s">
        <v>90</v>
      </c>
      <c r="H1249" s="1" t="s">
        <v>15</v>
      </c>
      <c r="I1249" s="3" t="str">
        <f>"1"</f>
        <v>1</v>
      </c>
      <c r="J1249" s="3" t="str">
        <f>"100"</f>
        <v>100</v>
      </c>
      <c r="K1249" s="2">
        <v>45904</v>
      </c>
      <c r="L1249" s="2">
        <v>45905</v>
      </c>
      <c r="M1249" s="1" t="s">
        <v>8040</v>
      </c>
      <c r="N1249" s="1" t="s">
        <v>4343</v>
      </c>
    </row>
    <row r="1250" spans="1:14" x14ac:dyDescent="0.35">
      <c r="A1250" s="1" t="s">
        <v>4321</v>
      </c>
      <c r="B1250" s="3" t="s">
        <v>1844</v>
      </c>
      <c r="C1250" s="1" t="s">
        <v>1845</v>
      </c>
      <c r="D1250" s="1" t="s">
        <v>8039</v>
      </c>
      <c r="E1250" s="1" t="str">
        <f>"5855"</f>
        <v>5855</v>
      </c>
      <c r="F1250" s="1" t="str">
        <f>"015847217"</f>
        <v>015847217</v>
      </c>
      <c r="G1250" s="1" t="s">
        <v>1942</v>
      </c>
      <c r="H1250" s="1" t="s">
        <v>15</v>
      </c>
      <c r="I1250" s="3" t="str">
        <f>"12"</f>
        <v>12</v>
      </c>
      <c r="J1250" s="3" t="str">
        <f>"35674"</f>
        <v>35674</v>
      </c>
      <c r="K1250" s="2">
        <v>45903</v>
      </c>
      <c r="L1250" s="2">
        <v>45905</v>
      </c>
      <c r="M1250" s="1" t="s">
        <v>8038</v>
      </c>
    </row>
    <row r="1251" spans="1:14" x14ac:dyDescent="0.35">
      <c r="A1251" s="1" t="s">
        <v>4321</v>
      </c>
      <c r="B1251" s="3" t="s">
        <v>93</v>
      </c>
      <c r="C1251" s="1" t="s">
        <v>267</v>
      </c>
      <c r="D1251" s="1" t="s">
        <v>8037</v>
      </c>
      <c r="E1251" s="1" t="str">
        <f>"8415"</f>
        <v>8415</v>
      </c>
      <c r="F1251" s="1" t="str">
        <f>"015030763"</f>
        <v>015030763</v>
      </c>
      <c r="G1251" s="1" t="s">
        <v>841</v>
      </c>
      <c r="H1251" s="1" t="s">
        <v>15</v>
      </c>
      <c r="I1251" s="3" t="str">
        <f>"10"</f>
        <v>10</v>
      </c>
      <c r="J1251" s="3">
        <v>33.47</v>
      </c>
      <c r="K1251" s="2">
        <v>45898</v>
      </c>
      <c r="L1251" s="2">
        <v>45905</v>
      </c>
      <c r="M1251" s="1" t="s">
        <v>8036</v>
      </c>
      <c r="N1251" s="1" t="s">
        <v>8035</v>
      </c>
    </row>
    <row r="1252" spans="1:14" x14ac:dyDescent="0.35">
      <c r="A1252" s="1" t="s">
        <v>4321</v>
      </c>
      <c r="B1252" s="3" t="s">
        <v>93</v>
      </c>
      <c r="C1252" s="1" t="s">
        <v>408</v>
      </c>
      <c r="D1252" s="1" t="s">
        <v>8034</v>
      </c>
      <c r="E1252" s="1" t="str">
        <f>"5340"</f>
        <v>5340</v>
      </c>
      <c r="F1252" s="1" t="str">
        <f>"008291667"</f>
        <v>008291667</v>
      </c>
      <c r="G1252" s="1" t="s">
        <v>8033</v>
      </c>
      <c r="H1252" s="1" t="s">
        <v>15</v>
      </c>
      <c r="I1252" s="3" t="str">
        <f>"8"</f>
        <v>8</v>
      </c>
      <c r="J1252" s="3">
        <v>185.02</v>
      </c>
      <c r="K1252" s="2">
        <v>45892</v>
      </c>
      <c r="L1252" s="2">
        <v>45905</v>
      </c>
      <c r="M1252" s="1" t="s">
        <v>8032</v>
      </c>
      <c r="N1252" s="1" t="s">
        <v>8031</v>
      </c>
    </row>
    <row r="1253" spans="1:14" x14ac:dyDescent="0.35">
      <c r="A1253" s="1" t="s">
        <v>4321</v>
      </c>
      <c r="B1253" s="3" t="s">
        <v>3513</v>
      </c>
      <c r="C1253" s="1" t="s">
        <v>3801</v>
      </c>
      <c r="D1253" s="1" t="s">
        <v>8030</v>
      </c>
      <c r="E1253" s="1" t="str">
        <f>"8340"</f>
        <v>8340</v>
      </c>
      <c r="F1253" s="1" t="str">
        <f>"014563628"</f>
        <v>014563628</v>
      </c>
      <c r="G1253" s="1" t="s">
        <v>6212</v>
      </c>
      <c r="H1253" s="1" t="s">
        <v>15</v>
      </c>
      <c r="I1253" s="3" t="str">
        <f>"1"</f>
        <v>1</v>
      </c>
      <c r="J1253" s="3">
        <v>8443.0400000000009</v>
      </c>
      <c r="K1253" s="2">
        <v>45892</v>
      </c>
      <c r="L1253" s="2">
        <v>45905</v>
      </c>
      <c r="M1253" s="1" t="s">
        <v>8029</v>
      </c>
      <c r="N1253" s="1" t="s">
        <v>8028</v>
      </c>
    </row>
    <row r="1254" spans="1:14" x14ac:dyDescent="0.35">
      <c r="A1254" s="1" t="s">
        <v>4321</v>
      </c>
      <c r="B1254" s="3" t="s">
        <v>93</v>
      </c>
      <c r="C1254" s="1" t="s">
        <v>109</v>
      </c>
      <c r="D1254" s="1" t="s">
        <v>8027</v>
      </c>
      <c r="E1254" s="1" t="str">
        <f>"2340"</f>
        <v>2340</v>
      </c>
      <c r="F1254" s="1" t="s">
        <v>439</v>
      </c>
      <c r="G1254" s="1" t="s">
        <v>440</v>
      </c>
      <c r="H1254" s="1" t="s">
        <v>15</v>
      </c>
      <c r="I1254" s="3" t="str">
        <f>"1"</f>
        <v>1</v>
      </c>
      <c r="J1254" s="3" t="str">
        <f>"1500"</f>
        <v>1500</v>
      </c>
      <c r="K1254" s="2">
        <v>45865</v>
      </c>
      <c r="L1254" s="2">
        <v>45905</v>
      </c>
      <c r="M1254" s="1" t="s">
        <v>8026</v>
      </c>
      <c r="N1254" s="1" t="s">
        <v>8025</v>
      </c>
    </row>
    <row r="1255" spans="1:14" x14ac:dyDescent="0.35">
      <c r="A1255" s="1" t="s">
        <v>4321</v>
      </c>
      <c r="B1255" s="3" t="s">
        <v>93</v>
      </c>
      <c r="C1255" s="1" t="s">
        <v>109</v>
      </c>
      <c r="D1255" s="1" t="s">
        <v>8024</v>
      </c>
      <c r="E1255" s="1" t="str">
        <f>"4310"</f>
        <v>4310</v>
      </c>
      <c r="F1255" s="1" t="s">
        <v>124</v>
      </c>
      <c r="G1255" s="1" t="s">
        <v>125</v>
      </c>
      <c r="H1255" s="1" t="s">
        <v>15</v>
      </c>
      <c r="I1255" s="3" t="str">
        <f>"1"</f>
        <v>1</v>
      </c>
      <c r="J1255" s="3" t="str">
        <f>"2359"</f>
        <v>2359</v>
      </c>
      <c r="K1255" s="2">
        <v>45864</v>
      </c>
      <c r="L1255" s="2">
        <v>45905</v>
      </c>
      <c r="M1255" s="1" t="s">
        <v>8023</v>
      </c>
      <c r="N1255" s="1" t="s">
        <v>8022</v>
      </c>
    </row>
    <row r="1256" spans="1:14" x14ac:dyDescent="0.35">
      <c r="A1256" s="1" t="s">
        <v>4321</v>
      </c>
      <c r="B1256" s="3" t="s">
        <v>93</v>
      </c>
      <c r="C1256" s="1" t="s">
        <v>109</v>
      </c>
      <c r="D1256" s="1" t="s">
        <v>8021</v>
      </c>
      <c r="E1256" s="1" t="str">
        <f>"8430"</f>
        <v>8430</v>
      </c>
      <c r="F1256" s="1" t="str">
        <f>"014829944"</f>
        <v>014829944</v>
      </c>
      <c r="G1256" s="1" t="s">
        <v>8020</v>
      </c>
      <c r="H1256" s="1" t="s">
        <v>847</v>
      </c>
      <c r="I1256" s="3" t="str">
        <f>"30"</f>
        <v>30</v>
      </c>
      <c r="J1256" s="3">
        <v>129.31</v>
      </c>
      <c r="K1256" s="2">
        <v>45864</v>
      </c>
      <c r="L1256" s="2">
        <v>45905</v>
      </c>
      <c r="M1256" s="1" t="s">
        <v>8019</v>
      </c>
      <c r="N1256" s="1" t="s">
        <v>8018</v>
      </c>
    </row>
    <row r="1257" spans="1:14" x14ac:dyDescent="0.35">
      <c r="A1257" s="1" t="s">
        <v>4321</v>
      </c>
      <c r="B1257" s="3" t="s">
        <v>3105</v>
      </c>
      <c r="C1257" s="1" t="s">
        <v>3129</v>
      </c>
      <c r="D1257" s="1" t="s">
        <v>8017</v>
      </c>
      <c r="E1257" s="1" t="str">
        <f>"3920"</f>
        <v>3920</v>
      </c>
      <c r="F1257" s="1" t="str">
        <f>"000598972"</f>
        <v>000598972</v>
      </c>
      <c r="G1257" s="1" t="s">
        <v>5095</v>
      </c>
      <c r="H1257" s="1" t="s">
        <v>15</v>
      </c>
      <c r="I1257" s="3" t="str">
        <f>"1"</f>
        <v>1</v>
      </c>
      <c r="J1257" s="3">
        <v>1140.1199999999999</v>
      </c>
      <c r="K1257" s="2">
        <v>45859</v>
      </c>
      <c r="L1257" s="2">
        <v>45905</v>
      </c>
      <c r="M1257" s="1" t="s">
        <v>8016</v>
      </c>
      <c r="N1257" s="1" t="s">
        <v>8015</v>
      </c>
    </row>
    <row r="1258" spans="1:14" x14ac:dyDescent="0.35">
      <c r="A1258" s="1" t="s">
        <v>4321</v>
      </c>
      <c r="B1258" s="3" t="s">
        <v>1407</v>
      </c>
      <c r="C1258" s="1" t="s">
        <v>1408</v>
      </c>
      <c r="D1258" s="1" t="s">
        <v>8014</v>
      </c>
      <c r="E1258" s="1" t="str">
        <f>"5180"</f>
        <v>5180</v>
      </c>
      <c r="F1258" s="1" t="str">
        <f>"015632596"</f>
        <v>015632596</v>
      </c>
      <c r="G1258" s="1" t="s">
        <v>165</v>
      </c>
      <c r="H1258" s="1" t="s">
        <v>15</v>
      </c>
      <c r="I1258" s="3" t="str">
        <f>"1"</f>
        <v>1</v>
      </c>
      <c r="J1258" s="3" t="str">
        <f>"5569"</f>
        <v>5569</v>
      </c>
      <c r="K1258" s="2">
        <v>45835</v>
      </c>
      <c r="L1258" s="2">
        <v>45905</v>
      </c>
      <c r="N1258" s="1" t="s">
        <v>8013</v>
      </c>
    </row>
    <row r="1259" spans="1:14" x14ac:dyDescent="0.35">
      <c r="A1259" s="1" t="s">
        <v>4321</v>
      </c>
      <c r="B1259" s="3" t="s">
        <v>1407</v>
      </c>
      <c r="C1259" s="1" t="s">
        <v>1408</v>
      </c>
      <c r="D1259" s="1" t="s">
        <v>8012</v>
      </c>
      <c r="E1259" s="1" t="str">
        <f>"5180"</f>
        <v>5180</v>
      </c>
      <c r="F1259" s="1" t="str">
        <f>"005961546"</f>
        <v>005961546</v>
      </c>
      <c r="G1259" s="1" t="s">
        <v>165</v>
      </c>
      <c r="H1259" s="1" t="s">
        <v>19</v>
      </c>
      <c r="I1259" s="3" t="str">
        <f>"3"</f>
        <v>3</v>
      </c>
      <c r="J1259" s="3" t="str">
        <f>"3773"</f>
        <v>3773</v>
      </c>
      <c r="K1259" s="2">
        <v>45835</v>
      </c>
      <c r="L1259" s="2">
        <v>45905</v>
      </c>
      <c r="N1259" s="1" t="s">
        <v>8011</v>
      </c>
    </row>
    <row r="1260" spans="1:14" x14ac:dyDescent="0.35">
      <c r="A1260" s="1" t="s">
        <v>4321</v>
      </c>
      <c r="B1260" s="3" t="s">
        <v>1445</v>
      </c>
      <c r="C1260" s="1" t="s">
        <v>1459</v>
      </c>
      <c r="D1260" s="1" t="s">
        <v>8010</v>
      </c>
      <c r="E1260" s="1" t="str">
        <f>"5860"</f>
        <v>5860</v>
      </c>
      <c r="F1260" s="1" t="str">
        <f>"013508551"</f>
        <v>013508551</v>
      </c>
      <c r="G1260" s="1" t="s">
        <v>5085</v>
      </c>
      <c r="H1260" s="1" t="s">
        <v>15</v>
      </c>
      <c r="I1260" s="3" t="str">
        <f>"12"</f>
        <v>12</v>
      </c>
      <c r="J1260" s="3" t="str">
        <f>"22015"</f>
        <v>22015</v>
      </c>
      <c r="K1260" s="2">
        <v>45830</v>
      </c>
      <c r="L1260" s="2">
        <v>45905</v>
      </c>
      <c r="M1260" s="1" t="s">
        <v>1497</v>
      </c>
      <c r="N1260" s="1" t="s">
        <v>8009</v>
      </c>
    </row>
    <row r="1261" spans="1:14" x14ac:dyDescent="0.35">
      <c r="A1261" s="1" t="s">
        <v>4321</v>
      </c>
      <c r="B1261" s="3" t="s">
        <v>4087</v>
      </c>
      <c r="C1261" s="1" t="s">
        <v>4143</v>
      </c>
      <c r="D1261" s="1" t="s">
        <v>8008</v>
      </c>
      <c r="E1261" s="1" t="str">
        <f>"8340"</f>
        <v>8340</v>
      </c>
      <c r="F1261" s="1" t="str">
        <f>"016288855"</f>
        <v>016288855</v>
      </c>
      <c r="G1261" s="1" t="s">
        <v>957</v>
      </c>
      <c r="H1261" s="1" t="s">
        <v>15</v>
      </c>
      <c r="I1261" s="3" t="str">
        <f>"3"</f>
        <v>3</v>
      </c>
      <c r="J1261" s="3">
        <v>395.44</v>
      </c>
      <c r="K1261" s="2">
        <v>45904</v>
      </c>
      <c r="L1261" s="2">
        <v>45904</v>
      </c>
      <c r="M1261" s="1" t="s">
        <v>4207</v>
      </c>
      <c r="N1261" s="1" t="s">
        <v>4343</v>
      </c>
    </row>
    <row r="1262" spans="1:14" x14ac:dyDescent="0.35">
      <c r="A1262" s="1" t="s">
        <v>4321</v>
      </c>
      <c r="B1262" s="3" t="s">
        <v>2638</v>
      </c>
      <c r="C1262" s="1" t="s">
        <v>2713</v>
      </c>
      <c r="D1262" s="1" t="s">
        <v>8007</v>
      </c>
      <c r="E1262" s="1" t="str">
        <f>"8415"</f>
        <v>8415</v>
      </c>
      <c r="F1262" s="1" t="str">
        <f>"015801355"</f>
        <v>015801355</v>
      </c>
      <c r="G1262" s="1" t="s">
        <v>839</v>
      </c>
      <c r="H1262" s="1" t="s">
        <v>15</v>
      </c>
      <c r="I1262" s="3" t="str">
        <f>"50"</f>
        <v>50</v>
      </c>
      <c r="J1262" s="3">
        <v>81.66</v>
      </c>
      <c r="K1262" s="2">
        <v>45904</v>
      </c>
      <c r="L1262" s="2">
        <v>45904</v>
      </c>
      <c r="M1262" s="1" t="s">
        <v>8006</v>
      </c>
    </row>
    <row r="1263" spans="1:14" x14ac:dyDescent="0.35">
      <c r="A1263" s="1" t="s">
        <v>4321</v>
      </c>
      <c r="B1263" s="3" t="s">
        <v>3885</v>
      </c>
      <c r="C1263" s="1" t="s">
        <v>3966</v>
      </c>
      <c r="D1263" s="1" t="s">
        <v>8005</v>
      </c>
      <c r="E1263" s="1" t="str">
        <f>"5411"</f>
        <v>5411</v>
      </c>
      <c r="F1263" s="1" t="s">
        <v>3981</v>
      </c>
      <c r="G1263" s="1" t="s">
        <v>3982</v>
      </c>
      <c r="H1263" s="1" t="s">
        <v>15</v>
      </c>
      <c r="I1263" s="3" t="str">
        <f>"1"</f>
        <v>1</v>
      </c>
      <c r="J1263" s="3" t="str">
        <f>"105500"</f>
        <v>105500</v>
      </c>
      <c r="K1263" s="2">
        <v>45904</v>
      </c>
      <c r="L1263" s="2">
        <v>45904</v>
      </c>
      <c r="M1263" s="1" t="s">
        <v>3983</v>
      </c>
      <c r="N1263" s="1" t="s">
        <v>8004</v>
      </c>
    </row>
    <row r="1264" spans="1:14" x14ac:dyDescent="0.35">
      <c r="A1264" s="1" t="s">
        <v>4321</v>
      </c>
      <c r="B1264" s="3" t="s">
        <v>3885</v>
      </c>
      <c r="C1264" s="1" t="s">
        <v>3966</v>
      </c>
      <c r="D1264" s="1" t="s">
        <v>8005</v>
      </c>
      <c r="E1264" s="1" t="str">
        <f>"5411"</f>
        <v>5411</v>
      </c>
      <c r="F1264" s="1" t="s">
        <v>3981</v>
      </c>
      <c r="G1264" s="1" t="s">
        <v>3982</v>
      </c>
      <c r="H1264" s="1" t="s">
        <v>15</v>
      </c>
      <c r="I1264" s="3" t="str">
        <f>"1"</f>
        <v>1</v>
      </c>
      <c r="J1264" s="3" t="str">
        <f>"105500"</f>
        <v>105500</v>
      </c>
      <c r="K1264" s="2">
        <v>45904</v>
      </c>
      <c r="L1264" s="2">
        <v>45904</v>
      </c>
      <c r="M1264" s="1" t="s">
        <v>3983</v>
      </c>
      <c r="N1264" s="1" t="s">
        <v>8004</v>
      </c>
    </row>
    <row r="1265" spans="1:14" x14ac:dyDescent="0.35">
      <c r="A1265" s="1" t="s">
        <v>4321</v>
      </c>
      <c r="B1265" s="3" t="s">
        <v>3885</v>
      </c>
      <c r="C1265" s="1" t="s">
        <v>3966</v>
      </c>
      <c r="D1265" s="1" t="s">
        <v>8003</v>
      </c>
      <c r="E1265" s="1" t="str">
        <f>"5411"</f>
        <v>5411</v>
      </c>
      <c r="F1265" s="1" t="s">
        <v>3981</v>
      </c>
      <c r="G1265" s="1" t="s">
        <v>3982</v>
      </c>
      <c r="H1265" s="1" t="s">
        <v>15</v>
      </c>
      <c r="I1265" s="3" t="str">
        <f>"1"</f>
        <v>1</v>
      </c>
      <c r="J1265" s="3" t="str">
        <f>"105500"</f>
        <v>105500</v>
      </c>
      <c r="K1265" s="2">
        <v>45904</v>
      </c>
      <c r="L1265" s="2">
        <v>45904</v>
      </c>
      <c r="M1265" s="1" t="s">
        <v>3983</v>
      </c>
      <c r="N1265" s="1" t="s">
        <v>8002</v>
      </c>
    </row>
    <row r="1266" spans="1:14" x14ac:dyDescent="0.35">
      <c r="A1266" s="1" t="s">
        <v>4321</v>
      </c>
      <c r="B1266" s="3" t="s">
        <v>3885</v>
      </c>
      <c r="C1266" s="1" t="s">
        <v>3966</v>
      </c>
      <c r="D1266" s="1" t="s">
        <v>8003</v>
      </c>
      <c r="E1266" s="1" t="str">
        <f>"5411"</f>
        <v>5411</v>
      </c>
      <c r="F1266" s="1" t="s">
        <v>3981</v>
      </c>
      <c r="G1266" s="1" t="s">
        <v>3982</v>
      </c>
      <c r="H1266" s="1" t="s">
        <v>15</v>
      </c>
      <c r="I1266" s="3" t="str">
        <f>"1"</f>
        <v>1</v>
      </c>
      <c r="J1266" s="3" t="str">
        <f>"105500"</f>
        <v>105500</v>
      </c>
      <c r="K1266" s="2">
        <v>45904</v>
      </c>
      <c r="L1266" s="2">
        <v>45904</v>
      </c>
      <c r="M1266" s="1" t="s">
        <v>3983</v>
      </c>
      <c r="N1266" s="1" t="s">
        <v>8002</v>
      </c>
    </row>
    <row r="1267" spans="1:14" x14ac:dyDescent="0.35">
      <c r="A1267" s="1" t="s">
        <v>4321</v>
      </c>
      <c r="B1267" s="3" t="s">
        <v>2000</v>
      </c>
      <c r="C1267" s="1" t="s">
        <v>2078</v>
      </c>
      <c r="D1267" s="1" t="s">
        <v>8001</v>
      </c>
      <c r="E1267" s="1" t="str">
        <f>"1550"</f>
        <v>1550</v>
      </c>
      <c r="F1267" s="1" t="str">
        <f>"015389256"</f>
        <v>015389256</v>
      </c>
      <c r="G1267" s="1" t="s">
        <v>2416</v>
      </c>
      <c r="H1267" s="1" t="s">
        <v>15</v>
      </c>
      <c r="I1267" s="3" t="str">
        <f>"1"</f>
        <v>1</v>
      </c>
      <c r="J1267" s="3" t="str">
        <f>"100000"</f>
        <v>100000</v>
      </c>
      <c r="K1267" s="2">
        <v>45903</v>
      </c>
      <c r="L1267" s="2">
        <v>45904</v>
      </c>
      <c r="M1267" s="1" t="s">
        <v>7669</v>
      </c>
      <c r="N1267" s="1" t="s">
        <v>4343</v>
      </c>
    </row>
    <row r="1268" spans="1:14" x14ac:dyDescent="0.35">
      <c r="A1268" s="1" t="s">
        <v>4321</v>
      </c>
      <c r="B1268" s="3" t="s">
        <v>11</v>
      </c>
      <c r="C1268" s="1" t="s">
        <v>7790</v>
      </c>
      <c r="D1268" s="1" t="s">
        <v>8000</v>
      </c>
      <c r="E1268" s="1" t="str">
        <f>"2355"</f>
        <v>2355</v>
      </c>
      <c r="F1268" s="1" t="str">
        <f>"015643423"</f>
        <v>015643423</v>
      </c>
      <c r="G1268" s="1" t="s">
        <v>7999</v>
      </c>
      <c r="H1268" s="1" t="s">
        <v>15</v>
      </c>
      <c r="I1268" s="3" t="str">
        <f>"1"</f>
        <v>1</v>
      </c>
      <c r="J1268" s="3" t="str">
        <f>"746921"</f>
        <v>746921</v>
      </c>
      <c r="K1268" s="2">
        <v>45903</v>
      </c>
      <c r="L1268" s="2">
        <v>45904</v>
      </c>
      <c r="M1268" s="1" t="s">
        <v>7998</v>
      </c>
      <c r="N1268" s="1" t="s">
        <v>4387</v>
      </c>
    </row>
    <row r="1269" spans="1:14" x14ac:dyDescent="0.35">
      <c r="A1269" s="1" t="s">
        <v>4321</v>
      </c>
      <c r="B1269" s="3" t="s">
        <v>2720</v>
      </c>
      <c r="C1269" s="1" t="s">
        <v>2931</v>
      </c>
      <c r="D1269" s="1" t="s">
        <v>7997</v>
      </c>
      <c r="E1269" s="1" t="str">
        <f>"6545"</f>
        <v>6545</v>
      </c>
      <c r="F1269" s="1" t="str">
        <f>"015626036"</f>
        <v>015626036</v>
      </c>
      <c r="G1269" s="1" t="s">
        <v>7996</v>
      </c>
      <c r="H1269" s="1" t="s">
        <v>58</v>
      </c>
      <c r="I1269" s="3" t="str">
        <f>"1"</f>
        <v>1</v>
      </c>
      <c r="J1269" s="3">
        <v>223102.53</v>
      </c>
      <c r="K1269" s="2">
        <v>45902</v>
      </c>
      <c r="L1269" s="2">
        <v>45904</v>
      </c>
      <c r="M1269" s="1" t="s">
        <v>7995</v>
      </c>
    </row>
    <row r="1270" spans="1:14" x14ac:dyDescent="0.35">
      <c r="A1270" s="1" t="s">
        <v>4321</v>
      </c>
      <c r="B1270" s="3" t="s">
        <v>2494</v>
      </c>
      <c r="C1270" s="1" t="s">
        <v>2521</v>
      </c>
      <c r="D1270" s="1" t="s">
        <v>7994</v>
      </c>
      <c r="E1270" s="1" t="str">
        <f>"8415"</f>
        <v>8415</v>
      </c>
      <c r="F1270" s="1" t="str">
        <f>"015386289"</f>
        <v>015386289</v>
      </c>
      <c r="G1270" s="1" t="s">
        <v>973</v>
      </c>
      <c r="H1270" s="1" t="s">
        <v>15</v>
      </c>
      <c r="I1270" s="3" t="str">
        <f>"7"</f>
        <v>7</v>
      </c>
      <c r="J1270" s="3">
        <v>143.46</v>
      </c>
      <c r="K1270" s="2">
        <v>45901</v>
      </c>
      <c r="L1270" s="2">
        <v>45904</v>
      </c>
      <c r="M1270" s="1" t="s">
        <v>2553</v>
      </c>
      <c r="N1270" s="1" t="s">
        <v>7993</v>
      </c>
    </row>
    <row r="1271" spans="1:14" x14ac:dyDescent="0.35">
      <c r="A1271" s="1" t="s">
        <v>4321</v>
      </c>
      <c r="B1271" s="3" t="s">
        <v>2494</v>
      </c>
      <c r="C1271" s="1" t="s">
        <v>2521</v>
      </c>
      <c r="D1271" s="1" t="s">
        <v>7992</v>
      </c>
      <c r="E1271" s="1" t="str">
        <f>"8415"</f>
        <v>8415</v>
      </c>
      <c r="F1271" s="1" t="str">
        <f>"015386300"</f>
        <v>015386300</v>
      </c>
      <c r="G1271" s="1" t="s">
        <v>973</v>
      </c>
      <c r="H1271" s="1" t="s">
        <v>15</v>
      </c>
      <c r="I1271" s="3" t="str">
        <f>"3"</f>
        <v>3</v>
      </c>
      <c r="J1271" s="3">
        <v>143.46</v>
      </c>
      <c r="K1271" s="2">
        <v>45901</v>
      </c>
      <c r="L1271" s="2">
        <v>45904</v>
      </c>
      <c r="M1271" s="1" t="s">
        <v>2553</v>
      </c>
      <c r="N1271" s="1" t="s">
        <v>7991</v>
      </c>
    </row>
    <row r="1272" spans="1:14" x14ac:dyDescent="0.35">
      <c r="A1272" s="1" t="s">
        <v>4321</v>
      </c>
      <c r="B1272" s="3" t="s">
        <v>2000</v>
      </c>
      <c r="C1272" s="1" t="s">
        <v>2043</v>
      </c>
      <c r="D1272" s="1" t="s">
        <v>7990</v>
      </c>
      <c r="E1272" s="1" t="str">
        <f>"1550"</f>
        <v>1550</v>
      </c>
      <c r="F1272" s="1" t="str">
        <f>"015872765"</f>
        <v>015872765</v>
      </c>
      <c r="G1272" s="1" t="s">
        <v>2416</v>
      </c>
      <c r="H1272" s="1" t="s">
        <v>15</v>
      </c>
      <c r="I1272" s="3" t="str">
        <f>"1"</f>
        <v>1</v>
      </c>
      <c r="J1272" s="3" t="str">
        <f>"100000"</f>
        <v>100000</v>
      </c>
      <c r="K1272" s="2">
        <v>45901</v>
      </c>
      <c r="L1272" s="2">
        <v>45904</v>
      </c>
      <c r="M1272" s="1" t="s">
        <v>7989</v>
      </c>
      <c r="N1272" s="1" t="s">
        <v>4343</v>
      </c>
    </row>
    <row r="1273" spans="1:14" x14ac:dyDescent="0.35">
      <c r="A1273" s="1" t="s">
        <v>4321</v>
      </c>
      <c r="B1273" s="3" t="s">
        <v>1848</v>
      </c>
      <c r="C1273" s="1" t="s">
        <v>1849</v>
      </c>
      <c r="D1273" s="1" t="s">
        <v>7988</v>
      </c>
      <c r="E1273" s="1" t="str">
        <f>"3990"</f>
        <v>3990</v>
      </c>
      <c r="F1273" s="1" t="str">
        <f>"015384355"</f>
        <v>015384355</v>
      </c>
      <c r="G1273" s="1" t="s">
        <v>7987</v>
      </c>
      <c r="H1273" s="1" t="s">
        <v>15</v>
      </c>
      <c r="I1273" s="3" t="str">
        <f>"1"</f>
        <v>1</v>
      </c>
      <c r="J1273" s="3">
        <v>932.79</v>
      </c>
      <c r="K1273" s="2">
        <v>45899</v>
      </c>
      <c r="L1273" s="2">
        <v>45904</v>
      </c>
      <c r="M1273" s="1" t="s">
        <v>7986</v>
      </c>
      <c r="N1273" s="1" t="s">
        <v>7985</v>
      </c>
    </row>
    <row r="1274" spans="1:14" x14ac:dyDescent="0.35">
      <c r="A1274" s="1" t="s">
        <v>4321</v>
      </c>
      <c r="B1274" s="3" t="s">
        <v>3105</v>
      </c>
      <c r="C1274" s="1" t="s">
        <v>3154</v>
      </c>
      <c r="D1274" s="1" t="s">
        <v>7984</v>
      </c>
      <c r="E1274" s="1" t="str">
        <f>"6115"</f>
        <v>6115</v>
      </c>
      <c r="F1274" s="1" t="s">
        <v>174</v>
      </c>
      <c r="G1274" s="1" t="s">
        <v>175</v>
      </c>
      <c r="H1274" s="1" t="s">
        <v>15</v>
      </c>
      <c r="I1274" s="3" t="str">
        <f>"2"</f>
        <v>2</v>
      </c>
      <c r="J1274" s="3">
        <v>22228.9</v>
      </c>
      <c r="K1274" s="2">
        <v>45899</v>
      </c>
      <c r="L1274" s="2">
        <v>45904</v>
      </c>
      <c r="M1274" s="1" t="s">
        <v>7983</v>
      </c>
      <c r="N1274" s="1" t="s">
        <v>7982</v>
      </c>
    </row>
    <row r="1275" spans="1:14" x14ac:dyDescent="0.35">
      <c r="A1275" s="1" t="s">
        <v>4321</v>
      </c>
      <c r="B1275" s="3" t="s">
        <v>2494</v>
      </c>
      <c r="C1275" s="1" t="s">
        <v>2521</v>
      </c>
      <c r="D1275" s="1" t="s">
        <v>7981</v>
      </c>
      <c r="E1275" s="1" t="str">
        <f>"5110"</f>
        <v>5110</v>
      </c>
      <c r="F1275" s="1" t="str">
        <f>"015766136"</f>
        <v>015766136</v>
      </c>
      <c r="G1275" s="1" t="s">
        <v>7977</v>
      </c>
      <c r="H1275" s="1" t="s">
        <v>15</v>
      </c>
      <c r="I1275" s="3" t="str">
        <f>"20"</f>
        <v>20</v>
      </c>
      <c r="J1275" s="3">
        <v>151.79</v>
      </c>
      <c r="K1275" s="2">
        <v>45897</v>
      </c>
      <c r="L1275" s="2">
        <v>45904</v>
      </c>
      <c r="M1275" s="1" t="s">
        <v>7980</v>
      </c>
      <c r="N1275" s="1" t="s">
        <v>7979</v>
      </c>
    </row>
    <row r="1276" spans="1:14" x14ac:dyDescent="0.35">
      <c r="A1276" s="1" t="s">
        <v>4321</v>
      </c>
      <c r="B1276" s="3" t="s">
        <v>5157</v>
      </c>
      <c r="C1276" s="1" t="s">
        <v>5156</v>
      </c>
      <c r="D1276" s="1" t="s">
        <v>7978</v>
      </c>
      <c r="E1276" s="1" t="str">
        <f>"5110"</f>
        <v>5110</v>
      </c>
      <c r="F1276" s="1" t="str">
        <f>"015766136"</f>
        <v>015766136</v>
      </c>
      <c r="G1276" s="1" t="s">
        <v>7977</v>
      </c>
      <c r="H1276" s="1" t="s">
        <v>15</v>
      </c>
      <c r="I1276" s="3" t="str">
        <f>"10"</f>
        <v>10</v>
      </c>
      <c r="J1276" s="3">
        <v>151.79</v>
      </c>
      <c r="K1276" s="2">
        <v>45894</v>
      </c>
      <c r="L1276" s="2">
        <v>45904</v>
      </c>
      <c r="M1276" s="1" t="s">
        <v>7976</v>
      </c>
      <c r="N1276" s="1" t="s">
        <v>7975</v>
      </c>
    </row>
    <row r="1277" spans="1:14" x14ac:dyDescent="0.35">
      <c r="A1277" s="1" t="s">
        <v>4321</v>
      </c>
      <c r="B1277" s="3" t="s">
        <v>3513</v>
      </c>
      <c r="C1277" s="1" t="s">
        <v>3514</v>
      </c>
      <c r="D1277" s="1" t="s">
        <v>7974</v>
      </c>
      <c r="E1277" s="1" t="str">
        <f>"6150"</f>
        <v>6150</v>
      </c>
      <c r="F1277" s="1" t="str">
        <f>"015101155"</f>
        <v>015101155</v>
      </c>
      <c r="G1277" s="1" t="s">
        <v>7973</v>
      </c>
      <c r="H1277" s="1" t="s">
        <v>15</v>
      </c>
      <c r="I1277" s="3" t="str">
        <f>"2"</f>
        <v>2</v>
      </c>
      <c r="J1277" s="3">
        <v>242.82</v>
      </c>
      <c r="K1277" s="2">
        <v>45892</v>
      </c>
      <c r="L1277" s="2">
        <v>45904</v>
      </c>
      <c r="M1277" s="1" t="s">
        <v>7972</v>
      </c>
      <c r="N1277" s="1" t="s">
        <v>7971</v>
      </c>
    </row>
    <row r="1278" spans="1:14" x14ac:dyDescent="0.35">
      <c r="A1278" s="1" t="s">
        <v>4321</v>
      </c>
      <c r="B1278" s="3" t="s">
        <v>3183</v>
      </c>
      <c r="C1278" s="1" t="s">
        <v>3184</v>
      </c>
      <c r="D1278" s="1" t="s">
        <v>7970</v>
      </c>
      <c r="E1278" s="1" t="str">
        <f>"2320"</f>
        <v>2320</v>
      </c>
      <c r="F1278" s="1" t="s">
        <v>274</v>
      </c>
      <c r="G1278" s="1" t="s">
        <v>275</v>
      </c>
      <c r="H1278" s="1" t="s">
        <v>15</v>
      </c>
      <c r="I1278" s="3" t="str">
        <f>"1"</f>
        <v>1</v>
      </c>
      <c r="J1278" s="3" t="str">
        <f>"40000"</f>
        <v>40000</v>
      </c>
      <c r="K1278" s="2">
        <v>45892</v>
      </c>
      <c r="L1278" s="2">
        <v>45904</v>
      </c>
      <c r="M1278" s="1" t="s">
        <v>7969</v>
      </c>
      <c r="N1278" s="1" t="s">
        <v>7968</v>
      </c>
    </row>
    <row r="1279" spans="1:14" x14ac:dyDescent="0.35">
      <c r="A1279" s="1" t="s">
        <v>4321</v>
      </c>
      <c r="B1279" s="3" t="s">
        <v>2720</v>
      </c>
      <c r="C1279" s="1" t="s">
        <v>2770</v>
      </c>
      <c r="D1279" s="1" t="s">
        <v>7967</v>
      </c>
      <c r="E1279" s="1" t="str">
        <f>"2320"</f>
        <v>2320</v>
      </c>
      <c r="F1279" s="1" t="s">
        <v>274</v>
      </c>
      <c r="G1279" s="1" t="s">
        <v>275</v>
      </c>
      <c r="H1279" s="1" t="s">
        <v>15</v>
      </c>
      <c r="I1279" s="3" t="str">
        <f>"1"</f>
        <v>1</v>
      </c>
      <c r="J1279" s="3" t="str">
        <f>"40000"</f>
        <v>40000</v>
      </c>
      <c r="K1279" s="2">
        <v>45892</v>
      </c>
      <c r="L1279" s="2">
        <v>45904</v>
      </c>
      <c r="M1279" s="1" t="s">
        <v>7966</v>
      </c>
      <c r="N1279" s="1" t="s">
        <v>4343</v>
      </c>
    </row>
    <row r="1280" spans="1:14" x14ac:dyDescent="0.35">
      <c r="A1280" s="1" t="s">
        <v>4321</v>
      </c>
      <c r="B1280" s="3" t="s">
        <v>2000</v>
      </c>
      <c r="C1280" s="1" t="s">
        <v>2078</v>
      </c>
      <c r="D1280" s="1" t="s">
        <v>7965</v>
      </c>
      <c r="E1280" s="1" t="str">
        <f>"2320"</f>
        <v>2320</v>
      </c>
      <c r="F1280" s="1" t="s">
        <v>274</v>
      </c>
      <c r="G1280" s="1" t="s">
        <v>275</v>
      </c>
      <c r="H1280" s="1" t="s">
        <v>15</v>
      </c>
      <c r="I1280" s="3" t="str">
        <f>"1"</f>
        <v>1</v>
      </c>
      <c r="J1280" s="3" t="str">
        <f>"40000"</f>
        <v>40000</v>
      </c>
      <c r="K1280" s="2">
        <v>45892</v>
      </c>
      <c r="L1280" s="2">
        <v>45904</v>
      </c>
      <c r="M1280" s="1" t="s">
        <v>7964</v>
      </c>
      <c r="N1280" s="1" t="s">
        <v>7963</v>
      </c>
    </row>
    <row r="1281" spans="1:14" x14ac:dyDescent="0.35">
      <c r="A1281" s="1" t="s">
        <v>4321</v>
      </c>
      <c r="B1281" s="3" t="s">
        <v>3885</v>
      </c>
      <c r="C1281" s="1" t="s">
        <v>4022</v>
      </c>
      <c r="D1281" s="1" t="s">
        <v>7962</v>
      </c>
      <c r="E1281" s="1" t="str">
        <f>"2320"</f>
        <v>2320</v>
      </c>
      <c r="F1281" s="1" t="s">
        <v>274</v>
      </c>
      <c r="G1281" s="1" t="s">
        <v>275</v>
      </c>
      <c r="H1281" s="1" t="s">
        <v>15</v>
      </c>
      <c r="I1281" s="3" t="str">
        <f>"1"</f>
        <v>1</v>
      </c>
      <c r="J1281" s="3" t="str">
        <f>"40000"</f>
        <v>40000</v>
      </c>
      <c r="K1281" s="2">
        <v>45892</v>
      </c>
      <c r="L1281" s="2">
        <v>45904</v>
      </c>
      <c r="M1281" s="1" t="s">
        <v>7961</v>
      </c>
      <c r="N1281" s="1" t="s">
        <v>7960</v>
      </c>
    </row>
    <row r="1282" spans="1:14" x14ac:dyDescent="0.35">
      <c r="A1282" s="1" t="s">
        <v>4321</v>
      </c>
      <c r="B1282" s="3" t="s">
        <v>601</v>
      </c>
      <c r="C1282" s="1" t="s">
        <v>602</v>
      </c>
      <c r="D1282" s="1" t="s">
        <v>7959</v>
      </c>
      <c r="E1282" s="1" t="str">
        <f>"2320"</f>
        <v>2320</v>
      </c>
      <c r="F1282" s="1" t="s">
        <v>1871</v>
      </c>
      <c r="G1282" s="1" t="s">
        <v>1872</v>
      </c>
      <c r="H1282" s="1" t="s">
        <v>15</v>
      </c>
      <c r="I1282" s="3" t="str">
        <f>"1"</f>
        <v>1</v>
      </c>
      <c r="J1282" s="3" t="str">
        <f>"6000"</f>
        <v>6000</v>
      </c>
      <c r="K1282" s="2">
        <v>45881</v>
      </c>
      <c r="L1282" s="2">
        <v>45904</v>
      </c>
      <c r="M1282" s="1" t="s">
        <v>7958</v>
      </c>
      <c r="N1282" s="1" t="s">
        <v>7957</v>
      </c>
    </row>
    <row r="1283" spans="1:14" x14ac:dyDescent="0.35">
      <c r="A1283" s="1" t="s">
        <v>4321</v>
      </c>
      <c r="B1283" s="3" t="s">
        <v>2248</v>
      </c>
      <c r="C1283" s="1" t="s">
        <v>2414</v>
      </c>
      <c r="D1283" s="1" t="s">
        <v>7956</v>
      </c>
      <c r="E1283" s="1" t="str">
        <f>"2320"</f>
        <v>2320</v>
      </c>
      <c r="F1283" s="1" t="str">
        <f>"015629341"</f>
        <v>015629341</v>
      </c>
      <c r="G1283" s="1" t="s">
        <v>604</v>
      </c>
      <c r="H1283" s="1" t="s">
        <v>15</v>
      </c>
      <c r="I1283" s="3" t="str">
        <f>"1"</f>
        <v>1</v>
      </c>
      <c r="J1283" s="3" t="str">
        <f>"321959"</f>
        <v>321959</v>
      </c>
      <c r="K1283" s="2">
        <v>45876</v>
      </c>
      <c r="L1283" s="2">
        <v>45904</v>
      </c>
      <c r="M1283" s="1" t="s">
        <v>7955</v>
      </c>
      <c r="N1283" s="1" t="s">
        <v>7954</v>
      </c>
    </row>
    <row r="1284" spans="1:14" x14ac:dyDescent="0.35">
      <c r="A1284" s="1" t="s">
        <v>4321</v>
      </c>
      <c r="B1284" s="3" t="s">
        <v>1857</v>
      </c>
      <c r="C1284" s="1" t="s">
        <v>5863</v>
      </c>
      <c r="D1284" s="1" t="s">
        <v>7953</v>
      </c>
      <c r="E1284" s="1" t="str">
        <f>"5180"</f>
        <v>5180</v>
      </c>
      <c r="F1284" s="1" t="str">
        <f>"014830249"</f>
        <v>014830249</v>
      </c>
      <c r="G1284" s="1" t="s">
        <v>220</v>
      </c>
      <c r="H1284" s="1" t="s">
        <v>58</v>
      </c>
      <c r="I1284" s="3" t="str">
        <f>"2"</f>
        <v>2</v>
      </c>
      <c r="J1284" s="3" t="str">
        <f>"1780"</f>
        <v>1780</v>
      </c>
      <c r="K1284" s="2">
        <v>45866</v>
      </c>
      <c r="L1284" s="2">
        <v>45904</v>
      </c>
      <c r="M1284" s="1" t="s">
        <v>7952</v>
      </c>
      <c r="N1284" s="1" t="s">
        <v>4343</v>
      </c>
    </row>
    <row r="1285" spans="1:14" x14ac:dyDescent="0.35">
      <c r="A1285" s="1" t="s">
        <v>4321</v>
      </c>
      <c r="B1285" s="3" t="s">
        <v>3183</v>
      </c>
      <c r="C1285" s="1" t="s">
        <v>3357</v>
      </c>
      <c r="D1285" s="1" t="s">
        <v>7951</v>
      </c>
      <c r="E1285" s="1" t="str">
        <f>"2320"</f>
        <v>2320</v>
      </c>
      <c r="F1285" s="1" t="s">
        <v>321</v>
      </c>
      <c r="G1285" s="1" t="s">
        <v>322</v>
      </c>
      <c r="H1285" s="1" t="s">
        <v>15</v>
      </c>
      <c r="I1285" s="3" t="str">
        <f>"1"</f>
        <v>1</v>
      </c>
      <c r="J1285" s="3" t="str">
        <f>"81925"</f>
        <v>81925</v>
      </c>
      <c r="K1285" s="2">
        <v>45775</v>
      </c>
      <c r="L1285" s="2">
        <v>45904</v>
      </c>
      <c r="M1285" s="1" t="s">
        <v>7950</v>
      </c>
      <c r="N1285" s="1" t="s">
        <v>7949</v>
      </c>
    </row>
    <row r="1286" spans="1:14" x14ac:dyDescent="0.35">
      <c r="A1286" s="1" t="s">
        <v>4321</v>
      </c>
      <c r="B1286" s="3" t="s">
        <v>3885</v>
      </c>
      <c r="C1286" s="1" t="s">
        <v>4022</v>
      </c>
      <c r="D1286" s="1" t="s">
        <v>7948</v>
      </c>
      <c r="E1286" s="1" t="str">
        <f>"2320"</f>
        <v>2320</v>
      </c>
      <c r="F1286" s="1" t="s">
        <v>321</v>
      </c>
      <c r="G1286" s="1" t="s">
        <v>322</v>
      </c>
      <c r="H1286" s="1" t="s">
        <v>15</v>
      </c>
      <c r="I1286" s="3" t="str">
        <f>"1"</f>
        <v>1</v>
      </c>
      <c r="J1286" s="3" t="str">
        <f>"9431"</f>
        <v>9431</v>
      </c>
      <c r="K1286" s="2">
        <v>45766</v>
      </c>
      <c r="L1286" s="2">
        <v>45904</v>
      </c>
      <c r="M1286" s="1" t="s">
        <v>7947</v>
      </c>
      <c r="N1286" s="1" t="s">
        <v>7946</v>
      </c>
    </row>
    <row r="1287" spans="1:14" x14ac:dyDescent="0.35">
      <c r="A1287" s="1" t="s">
        <v>4321</v>
      </c>
      <c r="B1287" s="3" t="s">
        <v>1848</v>
      </c>
      <c r="C1287" s="1" t="s">
        <v>7945</v>
      </c>
      <c r="D1287" s="1" t="s">
        <v>7944</v>
      </c>
      <c r="E1287" s="1" t="str">
        <f>"2330"</f>
        <v>2330</v>
      </c>
      <c r="F1287" s="1" t="s">
        <v>5288</v>
      </c>
      <c r="G1287" s="1" t="s">
        <v>5287</v>
      </c>
      <c r="H1287" s="1" t="s">
        <v>15</v>
      </c>
      <c r="I1287" s="3" t="str">
        <f>"1"</f>
        <v>1</v>
      </c>
      <c r="J1287" s="3" t="str">
        <f>"723646"</f>
        <v>723646</v>
      </c>
      <c r="K1287" s="2">
        <v>45902</v>
      </c>
      <c r="L1287" s="2">
        <v>45903</v>
      </c>
      <c r="M1287" s="1" t="s">
        <v>7943</v>
      </c>
      <c r="N1287" s="1" t="s">
        <v>7942</v>
      </c>
    </row>
    <row r="1288" spans="1:14" x14ac:dyDescent="0.35">
      <c r="A1288" s="1" t="s">
        <v>4321</v>
      </c>
      <c r="B1288" s="3" t="s">
        <v>2720</v>
      </c>
      <c r="C1288" s="1" t="s">
        <v>2740</v>
      </c>
      <c r="D1288" s="1" t="s">
        <v>7941</v>
      </c>
      <c r="E1288" s="1" t="str">
        <f>"7021"</f>
        <v>7021</v>
      </c>
      <c r="F1288" s="1" t="s">
        <v>7940</v>
      </c>
      <c r="G1288" s="1" t="s">
        <v>7939</v>
      </c>
      <c r="H1288" s="1" t="s">
        <v>15</v>
      </c>
      <c r="I1288" s="3" t="str">
        <f>"3"</f>
        <v>3</v>
      </c>
      <c r="J1288" s="3" t="str">
        <f>"800"</f>
        <v>800</v>
      </c>
      <c r="K1288" s="2">
        <v>45901</v>
      </c>
      <c r="L1288" s="2">
        <v>45903</v>
      </c>
      <c r="M1288" s="1" t="s">
        <v>7938</v>
      </c>
    </row>
    <row r="1289" spans="1:14" x14ac:dyDescent="0.35">
      <c r="A1289" s="1" t="s">
        <v>4321</v>
      </c>
      <c r="B1289" s="3" t="s">
        <v>806</v>
      </c>
      <c r="C1289" s="1" t="s">
        <v>866</v>
      </c>
      <c r="D1289" s="1" t="s">
        <v>7937</v>
      </c>
      <c r="E1289" s="1" t="str">
        <f>"6230"</f>
        <v>6230</v>
      </c>
      <c r="F1289" s="1" t="str">
        <f>"015912511"</f>
        <v>015912511</v>
      </c>
      <c r="G1289" s="1" t="s">
        <v>538</v>
      </c>
      <c r="H1289" s="1" t="s">
        <v>15</v>
      </c>
      <c r="I1289" s="3" t="str">
        <f>"62"</f>
        <v>62</v>
      </c>
      <c r="J1289" s="3">
        <v>484.22</v>
      </c>
      <c r="K1289" s="2">
        <v>45899</v>
      </c>
      <c r="L1289" s="2">
        <v>45903</v>
      </c>
      <c r="M1289" s="1" t="s">
        <v>7936</v>
      </c>
      <c r="N1289" s="1" t="s">
        <v>4343</v>
      </c>
    </row>
    <row r="1290" spans="1:14" x14ac:dyDescent="0.35">
      <c r="A1290" s="1" t="s">
        <v>4321</v>
      </c>
      <c r="B1290" s="3" t="s">
        <v>1848</v>
      </c>
      <c r="C1290" s="1" t="s">
        <v>1849</v>
      </c>
      <c r="D1290" s="1" t="s">
        <v>7935</v>
      </c>
      <c r="E1290" s="1" t="str">
        <f>"5136"</f>
        <v>5136</v>
      </c>
      <c r="F1290" s="1" t="str">
        <f>"003577504"</f>
        <v>003577504</v>
      </c>
      <c r="G1290" s="1" t="s">
        <v>7934</v>
      </c>
      <c r="H1290" s="1" t="s">
        <v>58</v>
      </c>
      <c r="I1290" s="3" t="str">
        <f>"1"</f>
        <v>1</v>
      </c>
      <c r="J1290" s="3">
        <v>972.09</v>
      </c>
      <c r="K1290" s="2">
        <v>45899</v>
      </c>
      <c r="L1290" s="2">
        <v>45903</v>
      </c>
      <c r="M1290" s="1" t="s">
        <v>7933</v>
      </c>
      <c r="N1290" s="1" t="s">
        <v>7932</v>
      </c>
    </row>
    <row r="1291" spans="1:14" x14ac:dyDescent="0.35">
      <c r="A1291" s="1" t="s">
        <v>4321</v>
      </c>
      <c r="B1291" s="3" t="s">
        <v>3183</v>
      </c>
      <c r="C1291" s="1" t="s">
        <v>3364</v>
      </c>
      <c r="D1291" s="1" t="s">
        <v>7931</v>
      </c>
      <c r="E1291" s="1" t="str">
        <f>"6230"</f>
        <v>6230</v>
      </c>
      <c r="F1291" s="1" t="str">
        <f>"015912511"</f>
        <v>015912511</v>
      </c>
      <c r="G1291" s="1" t="s">
        <v>538</v>
      </c>
      <c r="H1291" s="1" t="s">
        <v>15</v>
      </c>
      <c r="I1291" s="3" t="str">
        <f>"45"</f>
        <v>45</v>
      </c>
      <c r="J1291" s="3">
        <v>484.22</v>
      </c>
      <c r="K1291" s="2">
        <v>45899</v>
      </c>
      <c r="L1291" s="2">
        <v>45903</v>
      </c>
      <c r="M1291" s="1" t="s">
        <v>7930</v>
      </c>
      <c r="N1291" s="1" t="s">
        <v>7929</v>
      </c>
    </row>
    <row r="1292" spans="1:14" x14ac:dyDescent="0.35">
      <c r="A1292" s="1" t="s">
        <v>4321</v>
      </c>
      <c r="B1292" s="3" t="s">
        <v>2000</v>
      </c>
      <c r="C1292" s="1" t="s">
        <v>2078</v>
      </c>
      <c r="D1292" s="1" t="s">
        <v>7928</v>
      </c>
      <c r="E1292" s="1" t="str">
        <f>"4240"</f>
        <v>4240</v>
      </c>
      <c r="F1292" s="1" t="str">
        <f>"016180995"</f>
        <v>016180995</v>
      </c>
      <c r="G1292" s="1" t="s">
        <v>7927</v>
      </c>
      <c r="H1292" s="1" t="s">
        <v>15</v>
      </c>
      <c r="I1292" s="3" t="str">
        <f>"53"</f>
        <v>53</v>
      </c>
      <c r="J1292" s="3">
        <v>71.12</v>
      </c>
      <c r="K1292" s="2">
        <v>45893</v>
      </c>
      <c r="L1292" s="2">
        <v>45903</v>
      </c>
      <c r="M1292" s="1" t="s">
        <v>7926</v>
      </c>
      <c r="N1292" s="1" t="s">
        <v>7925</v>
      </c>
    </row>
    <row r="1293" spans="1:14" x14ac:dyDescent="0.35">
      <c r="A1293" s="1" t="s">
        <v>4321</v>
      </c>
      <c r="B1293" s="3" t="s">
        <v>3183</v>
      </c>
      <c r="C1293" s="1" t="s">
        <v>3241</v>
      </c>
      <c r="D1293" s="1" t="s">
        <v>7924</v>
      </c>
      <c r="E1293" s="1" t="str">
        <f>"2320"</f>
        <v>2320</v>
      </c>
      <c r="F1293" s="1" t="str">
        <f>"014319237"</f>
        <v>014319237</v>
      </c>
      <c r="G1293" s="1" t="s">
        <v>7923</v>
      </c>
      <c r="H1293" s="1" t="s">
        <v>15</v>
      </c>
      <c r="I1293" s="3" t="str">
        <f>"1"</f>
        <v>1</v>
      </c>
      <c r="J1293" s="3" t="str">
        <f>"95110"</f>
        <v>95110</v>
      </c>
      <c r="K1293" s="2">
        <v>45892</v>
      </c>
      <c r="L1293" s="2">
        <v>45903</v>
      </c>
      <c r="M1293" s="1" t="s">
        <v>7922</v>
      </c>
      <c r="N1293" s="1" t="s">
        <v>7921</v>
      </c>
    </row>
    <row r="1294" spans="1:14" x14ac:dyDescent="0.35">
      <c r="A1294" s="1" t="s">
        <v>4321</v>
      </c>
      <c r="B1294" s="3" t="s">
        <v>691</v>
      </c>
      <c r="C1294" s="1" t="s">
        <v>731</v>
      </c>
      <c r="D1294" s="1" t="s">
        <v>7920</v>
      </c>
      <c r="E1294" s="1" t="str">
        <f>"8145"</f>
        <v>8145</v>
      </c>
      <c r="F1294" s="1" t="s">
        <v>743</v>
      </c>
      <c r="G1294" s="1" t="s">
        <v>744</v>
      </c>
      <c r="H1294" s="1" t="s">
        <v>15</v>
      </c>
      <c r="I1294" s="3" t="str">
        <f>"10"</f>
        <v>10</v>
      </c>
      <c r="J1294" s="3" t="str">
        <f>"500"</f>
        <v>500</v>
      </c>
      <c r="K1294" s="2">
        <v>45889</v>
      </c>
      <c r="L1294" s="2">
        <v>45903</v>
      </c>
      <c r="M1294" s="1" t="s">
        <v>7919</v>
      </c>
      <c r="N1294" s="1" t="s">
        <v>7918</v>
      </c>
    </row>
    <row r="1295" spans="1:14" x14ac:dyDescent="0.35">
      <c r="A1295" s="1" t="s">
        <v>4321</v>
      </c>
      <c r="B1295" s="3" t="s">
        <v>691</v>
      </c>
      <c r="C1295" s="1" t="s">
        <v>731</v>
      </c>
      <c r="D1295" s="1" t="s">
        <v>7917</v>
      </c>
      <c r="E1295" s="1" t="str">
        <f>"8145"</f>
        <v>8145</v>
      </c>
      <c r="F1295" s="1" t="s">
        <v>743</v>
      </c>
      <c r="G1295" s="1" t="s">
        <v>744</v>
      </c>
      <c r="H1295" s="1" t="s">
        <v>15</v>
      </c>
      <c r="I1295" s="3" t="str">
        <f>"7"</f>
        <v>7</v>
      </c>
      <c r="J1295" s="3" t="str">
        <f>"500"</f>
        <v>500</v>
      </c>
      <c r="K1295" s="2">
        <v>45889</v>
      </c>
      <c r="L1295" s="2">
        <v>45903</v>
      </c>
      <c r="M1295" s="1" t="s">
        <v>7916</v>
      </c>
      <c r="N1295" s="1" t="s">
        <v>7915</v>
      </c>
    </row>
    <row r="1296" spans="1:14" x14ac:dyDescent="0.35">
      <c r="A1296" s="1" t="s">
        <v>4321</v>
      </c>
      <c r="B1296" s="3" t="s">
        <v>3885</v>
      </c>
      <c r="C1296" s="1" t="s">
        <v>4074</v>
      </c>
      <c r="D1296" s="1" t="s">
        <v>7914</v>
      </c>
      <c r="E1296" s="1" t="str">
        <f>"2320"</f>
        <v>2320</v>
      </c>
      <c r="F1296" s="1" t="s">
        <v>321</v>
      </c>
      <c r="G1296" s="1" t="s">
        <v>322</v>
      </c>
      <c r="H1296" s="1" t="s">
        <v>15</v>
      </c>
      <c r="I1296" s="3" t="str">
        <f>"2"</f>
        <v>2</v>
      </c>
      <c r="J1296" s="3" t="str">
        <f>"15900"</f>
        <v>15900</v>
      </c>
      <c r="K1296" s="2">
        <v>45888</v>
      </c>
      <c r="L1296" s="2">
        <v>45903</v>
      </c>
      <c r="M1296" s="1" t="s">
        <v>7913</v>
      </c>
      <c r="N1296" s="1" t="s">
        <v>7912</v>
      </c>
    </row>
    <row r="1297" spans="1:14" x14ac:dyDescent="0.35">
      <c r="A1297" s="1" t="s">
        <v>4321</v>
      </c>
      <c r="B1297" s="3" t="s">
        <v>1699</v>
      </c>
      <c r="C1297" s="1" t="s">
        <v>1704</v>
      </c>
      <c r="D1297" s="1" t="s">
        <v>7911</v>
      </c>
      <c r="E1297" s="1" t="str">
        <f>"2320"</f>
        <v>2320</v>
      </c>
      <c r="F1297" s="1" t="str">
        <f>"012395371"</f>
        <v>012395371</v>
      </c>
      <c r="G1297" s="1" t="s">
        <v>7910</v>
      </c>
      <c r="H1297" s="1" t="s">
        <v>15</v>
      </c>
      <c r="I1297" s="3" t="str">
        <f>"1"</f>
        <v>1</v>
      </c>
      <c r="J1297" s="3">
        <v>94124.96</v>
      </c>
      <c r="K1297" s="2">
        <v>45887</v>
      </c>
      <c r="L1297" s="2">
        <v>45903</v>
      </c>
      <c r="M1297" s="1" t="s">
        <v>7909</v>
      </c>
      <c r="N1297" s="1" t="s">
        <v>7908</v>
      </c>
    </row>
    <row r="1298" spans="1:14" x14ac:dyDescent="0.35">
      <c r="A1298" s="1" t="s">
        <v>4321</v>
      </c>
      <c r="B1298" s="3" t="s">
        <v>2720</v>
      </c>
      <c r="C1298" s="1" t="s">
        <v>2897</v>
      </c>
      <c r="D1298" s="1" t="s">
        <v>7907</v>
      </c>
      <c r="E1298" s="1" t="str">
        <f>"2310"</f>
        <v>2310</v>
      </c>
      <c r="F1298" s="1" t="s">
        <v>5555</v>
      </c>
      <c r="G1298" s="1" t="s">
        <v>5554</v>
      </c>
      <c r="H1298" s="1" t="s">
        <v>15</v>
      </c>
      <c r="I1298" s="3" t="str">
        <f>"1"</f>
        <v>1</v>
      </c>
      <c r="J1298" s="3" t="str">
        <f>"12000"</f>
        <v>12000</v>
      </c>
      <c r="K1298" s="2">
        <v>45880</v>
      </c>
      <c r="L1298" s="2">
        <v>45903</v>
      </c>
      <c r="M1298" s="1" t="s">
        <v>7906</v>
      </c>
      <c r="N1298" s="1" t="s">
        <v>4343</v>
      </c>
    </row>
    <row r="1299" spans="1:14" x14ac:dyDescent="0.35">
      <c r="A1299" s="1" t="s">
        <v>4321</v>
      </c>
      <c r="B1299" s="3" t="s">
        <v>4087</v>
      </c>
      <c r="C1299" s="1" t="s">
        <v>4143</v>
      </c>
      <c r="D1299" s="1" t="s">
        <v>7905</v>
      </c>
      <c r="E1299" s="1" t="str">
        <f>"8345"</f>
        <v>8345</v>
      </c>
      <c r="F1299" s="1" t="str">
        <f>"006826857"</f>
        <v>006826857</v>
      </c>
      <c r="G1299" s="1" t="s">
        <v>5257</v>
      </c>
      <c r="H1299" s="1" t="s">
        <v>15</v>
      </c>
      <c r="I1299" s="3" t="str">
        <f>"3"</f>
        <v>3</v>
      </c>
      <c r="J1299" s="3">
        <v>21.73</v>
      </c>
      <c r="K1299" s="2">
        <v>45889</v>
      </c>
      <c r="L1299" s="2">
        <v>45902</v>
      </c>
      <c r="M1299" s="1" t="s">
        <v>7904</v>
      </c>
      <c r="N1299" s="1" t="s">
        <v>7903</v>
      </c>
    </row>
    <row r="1300" spans="1:14" x14ac:dyDescent="0.35">
      <c r="A1300" s="1" t="s">
        <v>4321</v>
      </c>
      <c r="B1300" s="3" t="s">
        <v>2000</v>
      </c>
      <c r="C1300" s="1" t="s">
        <v>2110</v>
      </c>
      <c r="D1300" s="1" t="s">
        <v>7902</v>
      </c>
      <c r="E1300" s="1" t="str">
        <f>"1005"</f>
        <v>1005</v>
      </c>
      <c r="F1300" s="1" t="str">
        <f>"200024811"</f>
        <v>200024811</v>
      </c>
      <c r="G1300" s="1" t="s">
        <v>7901</v>
      </c>
      <c r="H1300" s="1" t="s">
        <v>19</v>
      </c>
      <c r="I1300" s="3" t="str">
        <f>"10"</f>
        <v>10</v>
      </c>
      <c r="J1300" s="3">
        <v>475.81</v>
      </c>
      <c r="K1300" s="2">
        <v>45878</v>
      </c>
      <c r="L1300" s="2">
        <v>45902</v>
      </c>
      <c r="M1300" s="1" t="s">
        <v>7900</v>
      </c>
      <c r="N1300" s="1" t="s">
        <v>7899</v>
      </c>
    </row>
    <row r="1301" spans="1:14" x14ac:dyDescent="0.35">
      <c r="A1301" s="1" t="s">
        <v>4321</v>
      </c>
      <c r="B1301" s="3" t="s">
        <v>1407</v>
      </c>
      <c r="C1301" s="1" t="s">
        <v>1420</v>
      </c>
      <c r="D1301" s="1" t="s">
        <v>7898</v>
      </c>
      <c r="E1301" s="1" t="str">
        <f>"8430"</f>
        <v>8430</v>
      </c>
      <c r="F1301" s="1" t="str">
        <f>"016759427"</f>
        <v>016759427</v>
      </c>
      <c r="G1301" s="1" t="s">
        <v>1431</v>
      </c>
      <c r="H1301" s="1" t="s">
        <v>847</v>
      </c>
      <c r="I1301" s="3" t="str">
        <f>"2"</f>
        <v>2</v>
      </c>
      <c r="J1301" s="3">
        <v>160.11000000000001</v>
      </c>
      <c r="K1301" s="2">
        <v>45876</v>
      </c>
      <c r="L1301" s="2">
        <v>45902</v>
      </c>
      <c r="M1301" s="1" t="s">
        <v>7895</v>
      </c>
      <c r="N1301" s="1" t="s">
        <v>7897</v>
      </c>
    </row>
    <row r="1302" spans="1:14" x14ac:dyDescent="0.35">
      <c r="A1302" s="1" t="s">
        <v>4321</v>
      </c>
      <c r="B1302" s="3" t="s">
        <v>1407</v>
      </c>
      <c r="C1302" s="1" t="s">
        <v>1420</v>
      </c>
      <c r="D1302" s="1" t="s">
        <v>7896</v>
      </c>
      <c r="E1302" s="1" t="str">
        <f>"8430"</f>
        <v>8430</v>
      </c>
      <c r="F1302" s="1" t="str">
        <f>"016758660"</f>
        <v>016758660</v>
      </c>
      <c r="G1302" s="1" t="s">
        <v>1431</v>
      </c>
      <c r="H1302" s="1" t="s">
        <v>847</v>
      </c>
      <c r="I1302" s="3" t="str">
        <f>"1"</f>
        <v>1</v>
      </c>
      <c r="J1302" s="3">
        <v>160.11000000000001</v>
      </c>
      <c r="K1302" s="2">
        <v>45876</v>
      </c>
      <c r="L1302" s="2">
        <v>45902</v>
      </c>
      <c r="M1302" s="1" t="s">
        <v>7895</v>
      </c>
      <c r="N1302" s="1" t="s">
        <v>7894</v>
      </c>
    </row>
    <row r="1303" spans="1:14" x14ac:dyDescent="0.35">
      <c r="A1303" s="1" t="s">
        <v>4321</v>
      </c>
      <c r="B1303" s="3" t="s">
        <v>3183</v>
      </c>
      <c r="C1303" s="1" t="s">
        <v>3352</v>
      </c>
      <c r="D1303" s="1" t="s">
        <v>7893</v>
      </c>
      <c r="E1303" s="1" t="str">
        <f>"2420"</f>
        <v>2420</v>
      </c>
      <c r="F1303" s="1" t="str">
        <f>"014493014"</f>
        <v>014493014</v>
      </c>
      <c r="G1303" s="1" t="s">
        <v>1975</v>
      </c>
      <c r="H1303" s="1" t="s">
        <v>15</v>
      </c>
      <c r="I1303" s="3" t="str">
        <f>"1"</f>
        <v>1</v>
      </c>
      <c r="J1303" s="3" t="str">
        <f>"38791"</f>
        <v>38791</v>
      </c>
      <c r="K1303" s="2">
        <v>45874</v>
      </c>
      <c r="L1303" s="2">
        <v>45902</v>
      </c>
      <c r="M1303" s="1" t="s">
        <v>7892</v>
      </c>
      <c r="N1303" s="1" t="s">
        <v>7891</v>
      </c>
    </row>
    <row r="1304" spans="1:14" x14ac:dyDescent="0.35">
      <c r="A1304" s="1" t="s">
        <v>4321</v>
      </c>
      <c r="B1304" s="3" t="s">
        <v>2000</v>
      </c>
      <c r="C1304" s="1" t="s">
        <v>2105</v>
      </c>
      <c r="D1304" s="1" t="s">
        <v>7890</v>
      </c>
      <c r="E1304" s="1" t="str">
        <f>"6115"</f>
        <v>6115</v>
      </c>
      <c r="F1304" s="1" t="str">
        <f>"015472420"</f>
        <v>015472420</v>
      </c>
      <c r="G1304" s="1" t="s">
        <v>2850</v>
      </c>
      <c r="H1304" s="1" t="s">
        <v>15</v>
      </c>
      <c r="I1304" s="3" t="str">
        <f>"1"</f>
        <v>1</v>
      </c>
      <c r="J1304" s="3">
        <v>2822.64</v>
      </c>
      <c r="K1304" s="2">
        <v>45873</v>
      </c>
      <c r="L1304" s="2">
        <v>45902</v>
      </c>
      <c r="M1304" s="1" t="s">
        <v>7889</v>
      </c>
      <c r="N1304" s="1" t="s">
        <v>7888</v>
      </c>
    </row>
    <row r="1305" spans="1:14" x14ac:dyDescent="0.35">
      <c r="A1305" s="1" t="s">
        <v>4321</v>
      </c>
      <c r="B1305" s="3" t="s">
        <v>2000</v>
      </c>
      <c r="C1305" s="1" t="s">
        <v>2105</v>
      </c>
      <c r="D1305" s="1" t="s">
        <v>7887</v>
      </c>
      <c r="E1305" s="1" t="str">
        <f>"3830"</f>
        <v>3830</v>
      </c>
      <c r="F1305" s="1" t="s">
        <v>2288</v>
      </c>
      <c r="G1305" s="1" t="s">
        <v>2289</v>
      </c>
      <c r="H1305" s="1" t="s">
        <v>15</v>
      </c>
      <c r="I1305" s="3" t="str">
        <f>"1"</f>
        <v>1</v>
      </c>
      <c r="J1305" s="3" t="str">
        <f>"1054"</f>
        <v>1054</v>
      </c>
      <c r="K1305" s="2">
        <v>45869</v>
      </c>
      <c r="L1305" s="2">
        <v>45902</v>
      </c>
      <c r="M1305" s="1" t="s">
        <v>7886</v>
      </c>
      <c r="N1305" s="1" t="s">
        <v>7885</v>
      </c>
    </row>
    <row r="1306" spans="1:14" x14ac:dyDescent="0.35">
      <c r="A1306" s="1" t="s">
        <v>4321</v>
      </c>
      <c r="B1306" s="3" t="s">
        <v>2494</v>
      </c>
      <c r="C1306" s="1" t="s">
        <v>2521</v>
      </c>
      <c r="D1306" s="1" t="s">
        <v>7884</v>
      </c>
      <c r="E1306" s="1" t="str">
        <f>"5855"</f>
        <v>5855</v>
      </c>
      <c r="F1306" s="1" t="str">
        <f>"015665301"</f>
        <v>015665301</v>
      </c>
      <c r="G1306" s="1" t="s">
        <v>1904</v>
      </c>
      <c r="H1306" s="1" t="s">
        <v>15</v>
      </c>
      <c r="I1306" s="3" t="str">
        <f>"20"</f>
        <v>20</v>
      </c>
      <c r="J1306" s="3">
        <v>445.26</v>
      </c>
      <c r="K1306" s="2">
        <v>45900</v>
      </c>
      <c r="L1306" s="2">
        <v>45901</v>
      </c>
      <c r="M1306" s="1" t="s">
        <v>7883</v>
      </c>
      <c r="N1306" s="1" t="s">
        <v>4343</v>
      </c>
    </row>
    <row r="1307" spans="1:14" x14ac:dyDescent="0.35">
      <c r="A1307" s="1" t="s">
        <v>4321</v>
      </c>
      <c r="B1307" s="3" t="s">
        <v>806</v>
      </c>
      <c r="C1307" s="1" t="s">
        <v>866</v>
      </c>
      <c r="D1307" s="1" t="s">
        <v>7882</v>
      </c>
      <c r="E1307" s="1" t="str">
        <f>"5855"</f>
        <v>5855</v>
      </c>
      <c r="F1307" s="1" t="str">
        <f>"015665301"</f>
        <v>015665301</v>
      </c>
      <c r="G1307" s="1" t="s">
        <v>1904</v>
      </c>
      <c r="H1307" s="1" t="s">
        <v>15</v>
      </c>
      <c r="I1307" s="3" t="str">
        <f>"29"</f>
        <v>29</v>
      </c>
      <c r="J1307" s="3">
        <v>445.26</v>
      </c>
      <c r="K1307" s="2">
        <v>45899</v>
      </c>
      <c r="L1307" s="2">
        <v>45901</v>
      </c>
      <c r="M1307" s="1" t="s">
        <v>7881</v>
      </c>
      <c r="N1307" s="1" t="s">
        <v>4343</v>
      </c>
    </row>
    <row r="1308" spans="1:14" x14ac:dyDescent="0.35">
      <c r="A1308" s="1" t="s">
        <v>4321</v>
      </c>
      <c r="B1308" s="3" t="s">
        <v>93</v>
      </c>
      <c r="C1308" s="1" t="s">
        <v>267</v>
      </c>
      <c r="D1308" s="1" t="s">
        <v>7880</v>
      </c>
      <c r="E1308" s="1" t="str">
        <f>"1005"</f>
        <v>1005</v>
      </c>
      <c r="F1308" s="1" t="str">
        <f>"016155169"</f>
        <v>016155169</v>
      </c>
      <c r="G1308" s="1" t="s">
        <v>4601</v>
      </c>
      <c r="H1308" s="1" t="s">
        <v>15</v>
      </c>
      <c r="I1308" s="3" t="str">
        <f>"33"</f>
        <v>33</v>
      </c>
      <c r="J1308" s="3">
        <v>18.23</v>
      </c>
      <c r="K1308" s="2">
        <v>45898</v>
      </c>
      <c r="L1308" s="2">
        <v>45900</v>
      </c>
      <c r="M1308" s="1" t="s">
        <v>7879</v>
      </c>
      <c r="N1308" s="1" t="s">
        <v>4343</v>
      </c>
    </row>
    <row r="1309" spans="1:14" x14ac:dyDescent="0.35">
      <c r="A1309" s="1" t="s">
        <v>4321</v>
      </c>
      <c r="B1309" s="3" t="s">
        <v>2720</v>
      </c>
      <c r="C1309" s="1" t="s">
        <v>2897</v>
      </c>
      <c r="D1309" s="1" t="s">
        <v>7878</v>
      </c>
      <c r="E1309" s="1" t="str">
        <f>"1550"</f>
        <v>1550</v>
      </c>
      <c r="F1309" s="1" t="str">
        <f>"016215533"</f>
        <v>016215533</v>
      </c>
      <c r="G1309" s="1" t="s">
        <v>2334</v>
      </c>
      <c r="H1309" s="1" t="s">
        <v>15</v>
      </c>
      <c r="I1309" s="3" t="str">
        <f>"1"</f>
        <v>1</v>
      </c>
      <c r="J1309" s="3" t="str">
        <f>"168000"</f>
        <v>168000</v>
      </c>
      <c r="K1309" s="2">
        <v>45896</v>
      </c>
      <c r="L1309" s="2">
        <v>45900</v>
      </c>
      <c r="M1309" s="1" t="s">
        <v>2901</v>
      </c>
      <c r="N1309" s="1" t="s">
        <v>4343</v>
      </c>
    </row>
    <row r="1310" spans="1:14" x14ac:dyDescent="0.35">
      <c r="A1310" s="1" t="s">
        <v>4321</v>
      </c>
      <c r="B1310" s="3" t="s">
        <v>2720</v>
      </c>
      <c r="C1310" s="1" t="s">
        <v>2897</v>
      </c>
      <c r="D1310" s="1" t="s">
        <v>7877</v>
      </c>
      <c r="E1310" s="1" t="str">
        <f>"1550"</f>
        <v>1550</v>
      </c>
      <c r="F1310" s="1" t="str">
        <f>"016215533"</f>
        <v>016215533</v>
      </c>
      <c r="G1310" s="1" t="s">
        <v>2334</v>
      </c>
      <c r="H1310" s="1" t="s">
        <v>15</v>
      </c>
      <c r="I1310" s="3" t="str">
        <f>"1"</f>
        <v>1</v>
      </c>
      <c r="J1310" s="3" t="str">
        <f>"168000"</f>
        <v>168000</v>
      </c>
      <c r="K1310" s="2">
        <v>45896</v>
      </c>
      <c r="L1310" s="2">
        <v>45900</v>
      </c>
      <c r="M1310" s="1" t="s">
        <v>2901</v>
      </c>
      <c r="N1310" s="1" t="s">
        <v>4343</v>
      </c>
    </row>
    <row r="1311" spans="1:14" x14ac:dyDescent="0.35">
      <c r="A1311" s="1" t="s">
        <v>4321</v>
      </c>
      <c r="B1311" s="3" t="s">
        <v>2720</v>
      </c>
      <c r="C1311" s="1" t="s">
        <v>2897</v>
      </c>
      <c r="D1311" s="1" t="s">
        <v>7876</v>
      </c>
      <c r="E1311" s="1" t="str">
        <f>"1550"</f>
        <v>1550</v>
      </c>
      <c r="F1311" s="1" t="str">
        <f>"016215533"</f>
        <v>016215533</v>
      </c>
      <c r="G1311" s="1" t="s">
        <v>2334</v>
      </c>
      <c r="H1311" s="1" t="s">
        <v>15</v>
      </c>
      <c r="I1311" s="3" t="str">
        <f>"1"</f>
        <v>1</v>
      </c>
      <c r="J1311" s="3" t="str">
        <f>"168000"</f>
        <v>168000</v>
      </c>
      <c r="K1311" s="2">
        <v>45896</v>
      </c>
      <c r="L1311" s="2">
        <v>45900</v>
      </c>
      <c r="M1311" s="1" t="s">
        <v>2901</v>
      </c>
      <c r="N1311" s="1" t="s">
        <v>4343</v>
      </c>
    </row>
    <row r="1312" spans="1:14" x14ac:dyDescent="0.35">
      <c r="A1312" s="1" t="s">
        <v>4321</v>
      </c>
      <c r="B1312" s="3" t="s">
        <v>93</v>
      </c>
      <c r="C1312" s="1" t="s">
        <v>267</v>
      </c>
      <c r="D1312" s="1" t="s">
        <v>7875</v>
      </c>
      <c r="E1312" s="1" t="str">
        <f>"6130"</f>
        <v>6130</v>
      </c>
      <c r="F1312" s="1" t="s">
        <v>7874</v>
      </c>
      <c r="G1312" s="1" t="s">
        <v>7873</v>
      </c>
      <c r="H1312" s="1" t="s">
        <v>15</v>
      </c>
      <c r="I1312" s="3" t="str">
        <f>"3"</f>
        <v>3</v>
      </c>
      <c r="J1312" s="3" t="str">
        <f>"7691"</f>
        <v>7691</v>
      </c>
      <c r="K1312" s="2">
        <v>45898</v>
      </c>
      <c r="L1312" s="2">
        <v>45899</v>
      </c>
      <c r="M1312" s="1" t="s">
        <v>7872</v>
      </c>
      <c r="N1312" s="1" t="s">
        <v>4343</v>
      </c>
    </row>
    <row r="1313" spans="1:14" x14ac:dyDescent="0.35">
      <c r="A1313" s="1" t="s">
        <v>4321</v>
      </c>
      <c r="B1313" s="3" t="s">
        <v>2248</v>
      </c>
      <c r="C1313" s="1" t="s">
        <v>2357</v>
      </c>
      <c r="D1313" s="1" t="s">
        <v>7871</v>
      </c>
      <c r="E1313" s="1" t="str">
        <f>"5855"</f>
        <v>5855</v>
      </c>
      <c r="F1313" s="1" t="str">
        <f>"014778738"</f>
        <v>014778738</v>
      </c>
      <c r="G1313" s="1" t="s">
        <v>1942</v>
      </c>
      <c r="H1313" s="1" t="s">
        <v>15</v>
      </c>
      <c r="I1313" s="3" t="str">
        <f>"4"</f>
        <v>4</v>
      </c>
      <c r="J1313" s="3" t="str">
        <f>"7830"</f>
        <v>7830</v>
      </c>
      <c r="K1313" s="2">
        <v>45898</v>
      </c>
      <c r="L1313" s="2">
        <v>45899</v>
      </c>
      <c r="M1313" s="1" t="s">
        <v>7870</v>
      </c>
      <c r="N1313" s="1" t="s">
        <v>4343</v>
      </c>
    </row>
    <row r="1314" spans="1:14" x14ac:dyDescent="0.35">
      <c r="A1314" s="1" t="s">
        <v>4321</v>
      </c>
      <c r="B1314" s="3" t="s">
        <v>2720</v>
      </c>
      <c r="C1314" s="1" t="s">
        <v>2931</v>
      </c>
      <c r="D1314" s="1" t="s">
        <v>7869</v>
      </c>
      <c r="E1314" s="1" t="str">
        <f>"8465"</f>
        <v>8465</v>
      </c>
      <c r="F1314" s="1" t="s">
        <v>197</v>
      </c>
      <c r="G1314" s="1" t="s">
        <v>198</v>
      </c>
      <c r="H1314" s="1" t="s">
        <v>15</v>
      </c>
      <c r="I1314" s="3" t="str">
        <f>"2"</f>
        <v>2</v>
      </c>
      <c r="J1314" s="3">
        <v>19.329999999999998</v>
      </c>
      <c r="K1314" s="2">
        <v>45898</v>
      </c>
      <c r="L1314" s="2">
        <v>45899</v>
      </c>
      <c r="M1314" s="1" t="s">
        <v>7868</v>
      </c>
      <c r="N1314" s="1" t="s">
        <v>4343</v>
      </c>
    </row>
    <row r="1315" spans="1:14" x14ac:dyDescent="0.35">
      <c r="A1315" s="1" t="s">
        <v>4321</v>
      </c>
      <c r="B1315" s="3" t="s">
        <v>2720</v>
      </c>
      <c r="C1315" s="1" t="s">
        <v>2931</v>
      </c>
      <c r="D1315" s="1" t="s">
        <v>7867</v>
      </c>
      <c r="E1315" s="1" t="str">
        <f>"8465"</f>
        <v>8465</v>
      </c>
      <c r="F1315" s="1" t="s">
        <v>2516</v>
      </c>
      <c r="G1315" s="1" t="s">
        <v>2517</v>
      </c>
      <c r="H1315" s="1" t="s">
        <v>15</v>
      </c>
      <c r="I1315" s="3" t="str">
        <f>"1"</f>
        <v>1</v>
      </c>
      <c r="J1315" s="3" t="str">
        <f>"50"</f>
        <v>50</v>
      </c>
      <c r="K1315" s="2">
        <v>45898</v>
      </c>
      <c r="L1315" s="2">
        <v>45899</v>
      </c>
      <c r="M1315" s="1" t="s">
        <v>7866</v>
      </c>
      <c r="N1315" s="1" t="s">
        <v>4343</v>
      </c>
    </row>
    <row r="1316" spans="1:14" x14ac:dyDescent="0.35">
      <c r="A1316" s="1" t="s">
        <v>4321</v>
      </c>
      <c r="B1316" s="3" t="s">
        <v>1844</v>
      </c>
      <c r="C1316" s="1" t="s">
        <v>7839</v>
      </c>
      <c r="D1316" s="1" t="s">
        <v>7865</v>
      </c>
      <c r="E1316" s="1" t="str">
        <f>"5855"</f>
        <v>5855</v>
      </c>
      <c r="F1316" s="1" t="str">
        <f>"014778738"</f>
        <v>014778738</v>
      </c>
      <c r="G1316" s="1" t="s">
        <v>1942</v>
      </c>
      <c r="H1316" s="1" t="s">
        <v>15</v>
      </c>
      <c r="I1316" s="3" t="str">
        <f>"3"</f>
        <v>3</v>
      </c>
      <c r="J1316" s="3" t="str">
        <f>"7830"</f>
        <v>7830</v>
      </c>
      <c r="K1316" s="2">
        <v>45898</v>
      </c>
      <c r="L1316" s="2">
        <v>45899</v>
      </c>
      <c r="M1316" s="1" t="s">
        <v>7837</v>
      </c>
      <c r="N1316" s="1" t="s">
        <v>7864</v>
      </c>
    </row>
    <row r="1317" spans="1:14" x14ac:dyDescent="0.35">
      <c r="A1317" s="1" t="s">
        <v>4321</v>
      </c>
      <c r="B1317" s="3" t="s">
        <v>3183</v>
      </c>
      <c r="C1317" s="1" t="s">
        <v>7863</v>
      </c>
      <c r="D1317" s="1" t="s">
        <v>7862</v>
      </c>
      <c r="E1317" s="1" t="str">
        <f>"5965"</f>
        <v>5965</v>
      </c>
      <c r="F1317" s="1" t="str">
        <f>"016190258"</f>
        <v>016190258</v>
      </c>
      <c r="G1317" s="1" t="s">
        <v>22</v>
      </c>
      <c r="H1317" s="1" t="s">
        <v>15</v>
      </c>
      <c r="I1317" s="3" t="str">
        <f>"10"</f>
        <v>10</v>
      </c>
      <c r="J1317" s="3" t="str">
        <f>"3069"</f>
        <v>3069</v>
      </c>
      <c r="K1317" s="2">
        <v>45898</v>
      </c>
      <c r="L1317" s="2">
        <v>45899</v>
      </c>
      <c r="M1317" s="1" t="s">
        <v>7861</v>
      </c>
      <c r="N1317" s="1" t="s">
        <v>4343</v>
      </c>
    </row>
    <row r="1318" spans="1:14" x14ac:dyDescent="0.35">
      <c r="A1318" s="1" t="s">
        <v>4321</v>
      </c>
      <c r="B1318" s="3" t="s">
        <v>2720</v>
      </c>
      <c r="C1318" s="1" t="s">
        <v>2757</v>
      </c>
      <c r="D1318" s="1" t="s">
        <v>7860</v>
      </c>
      <c r="E1318" s="1" t="str">
        <f>"5855"</f>
        <v>5855</v>
      </c>
      <c r="F1318" s="1" t="str">
        <f>"014778738"</f>
        <v>014778738</v>
      </c>
      <c r="G1318" s="1" t="s">
        <v>1942</v>
      </c>
      <c r="H1318" s="1" t="s">
        <v>15</v>
      </c>
      <c r="I1318" s="3" t="str">
        <f>"35"</f>
        <v>35</v>
      </c>
      <c r="J1318" s="3" t="str">
        <f>"7830"</f>
        <v>7830</v>
      </c>
      <c r="K1318" s="2">
        <v>45897</v>
      </c>
      <c r="L1318" s="2">
        <v>45899</v>
      </c>
      <c r="M1318" s="1" t="s">
        <v>7859</v>
      </c>
      <c r="N1318" s="1" t="s">
        <v>4343</v>
      </c>
    </row>
    <row r="1319" spans="1:14" x14ac:dyDescent="0.35">
      <c r="A1319" s="1" t="s">
        <v>4321</v>
      </c>
      <c r="B1319" s="3" t="s">
        <v>1844</v>
      </c>
      <c r="C1319" s="1" t="s">
        <v>1845</v>
      </c>
      <c r="D1319" s="1" t="s">
        <v>7858</v>
      </c>
      <c r="E1319" s="1" t="str">
        <f>"5855"</f>
        <v>5855</v>
      </c>
      <c r="F1319" s="1" t="str">
        <f>"014778738"</f>
        <v>014778738</v>
      </c>
      <c r="G1319" s="1" t="s">
        <v>1942</v>
      </c>
      <c r="H1319" s="1" t="s">
        <v>15</v>
      </c>
      <c r="I1319" s="3" t="str">
        <f>"12"</f>
        <v>12</v>
      </c>
      <c r="J1319" s="3" t="str">
        <f>"7830"</f>
        <v>7830</v>
      </c>
      <c r="K1319" s="2">
        <v>45897</v>
      </c>
      <c r="L1319" s="2">
        <v>45899</v>
      </c>
      <c r="M1319" s="1" t="s">
        <v>7857</v>
      </c>
      <c r="N1319" s="1" t="s">
        <v>7856</v>
      </c>
    </row>
    <row r="1320" spans="1:14" x14ac:dyDescent="0.35">
      <c r="A1320" s="1" t="s">
        <v>4321</v>
      </c>
      <c r="B1320" s="3" t="s">
        <v>2248</v>
      </c>
      <c r="C1320" s="1" t="s">
        <v>2375</v>
      </c>
      <c r="D1320" s="1" t="s">
        <v>7855</v>
      </c>
      <c r="E1320" s="1" t="str">
        <f>"6920"</f>
        <v>6920</v>
      </c>
      <c r="F1320" s="1" t="s">
        <v>2759</v>
      </c>
      <c r="G1320" s="1" t="s">
        <v>2760</v>
      </c>
      <c r="H1320" s="1" t="s">
        <v>15</v>
      </c>
      <c r="I1320" s="3" t="str">
        <f>"7"</f>
        <v>7</v>
      </c>
      <c r="J1320" s="3">
        <v>183.59</v>
      </c>
      <c r="K1320" s="2">
        <v>45897</v>
      </c>
      <c r="L1320" s="2">
        <v>45899</v>
      </c>
      <c r="M1320" s="1" t="s">
        <v>7841</v>
      </c>
      <c r="N1320" s="1" t="s">
        <v>7854</v>
      </c>
    </row>
    <row r="1321" spans="1:14" x14ac:dyDescent="0.35">
      <c r="A1321" s="1" t="s">
        <v>4321</v>
      </c>
      <c r="B1321" s="3" t="s">
        <v>2248</v>
      </c>
      <c r="C1321" s="1" t="s">
        <v>2414</v>
      </c>
      <c r="D1321" s="1" t="s">
        <v>7853</v>
      </c>
      <c r="E1321" s="1" t="str">
        <f>"6910"</f>
        <v>6910</v>
      </c>
      <c r="F1321" s="1" t="s">
        <v>3926</v>
      </c>
      <c r="G1321" s="1" t="s">
        <v>3927</v>
      </c>
      <c r="H1321" s="1" t="s">
        <v>15</v>
      </c>
      <c r="I1321" s="3" t="str">
        <f>"6"</f>
        <v>6</v>
      </c>
      <c r="J1321" s="3" t="str">
        <f>"183"</f>
        <v>183</v>
      </c>
      <c r="K1321" s="2">
        <v>45897</v>
      </c>
      <c r="L1321" s="2">
        <v>45899</v>
      </c>
      <c r="M1321" s="1" t="s">
        <v>7852</v>
      </c>
      <c r="N1321" s="1" t="s">
        <v>7851</v>
      </c>
    </row>
    <row r="1322" spans="1:14" x14ac:dyDescent="0.35">
      <c r="A1322" s="1" t="s">
        <v>4321</v>
      </c>
      <c r="B1322" s="3" t="s">
        <v>93</v>
      </c>
      <c r="C1322" s="1" t="s">
        <v>450</v>
      </c>
      <c r="D1322" s="1" t="s">
        <v>7850</v>
      </c>
      <c r="E1322" s="1" t="str">
        <f>"5410"</f>
        <v>5410</v>
      </c>
      <c r="F1322" s="1" t="str">
        <f>"013112895"</f>
        <v>013112895</v>
      </c>
      <c r="G1322" s="1" t="s">
        <v>168</v>
      </c>
      <c r="H1322" s="1" t="s">
        <v>15</v>
      </c>
      <c r="I1322" s="3" t="str">
        <f>"5"</f>
        <v>5</v>
      </c>
      <c r="J1322" s="3" t="str">
        <f>"21340"</f>
        <v>21340</v>
      </c>
      <c r="K1322" s="2">
        <v>45897</v>
      </c>
      <c r="L1322" s="2">
        <v>45899</v>
      </c>
      <c r="M1322" s="1" t="s">
        <v>7849</v>
      </c>
      <c r="N1322" s="1" t="s">
        <v>4343</v>
      </c>
    </row>
    <row r="1323" spans="1:14" x14ac:dyDescent="0.35">
      <c r="A1323" s="1" t="s">
        <v>4321</v>
      </c>
      <c r="B1323" s="3" t="s">
        <v>1699</v>
      </c>
      <c r="C1323" s="1" t="s">
        <v>1750</v>
      </c>
      <c r="D1323" s="1" t="s">
        <v>7848</v>
      </c>
      <c r="E1323" s="1" t="str">
        <f>"6920"</f>
        <v>6920</v>
      </c>
      <c r="F1323" s="1" t="s">
        <v>2759</v>
      </c>
      <c r="G1323" s="1" t="s">
        <v>2760</v>
      </c>
      <c r="H1323" s="1" t="s">
        <v>15</v>
      </c>
      <c r="I1323" s="3" t="str">
        <f>"8"</f>
        <v>8</v>
      </c>
      <c r="J1323" s="3">
        <v>183.59</v>
      </c>
      <c r="K1323" s="2">
        <v>45896</v>
      </c>
      <c r="L1323" s="2">
        <v>45899</v>
      </c>
      <c r="M1323" s="1" t="s">
        <v>7847</v>
      </c>
      <c r="N1323" s="1" t="s">
        <v>7846</v>
      </c>
    </row>
    <row r="1324" spans="1:14" x14ac:dyDescent="0.35">
      <c r="A1324" s="1" t="s">
        <v>4321</v>
      </c>
      <c r="B1324" s="3" t="s">
        <v>3105</v>
      </c>
      <c r="C1324" s="1" t="s">
        <v>3141</v>
      </c>
      <c r="D1324" s="1" t="s">
        <v>7845</v>
      </c>
      <c r="E1324" s="1" t="str">
        <f>"5855"</f>
        <v>5855</v>
      </c>
      <c r="F1324" s="1" t="str">
        <f>"014778738"</f>
        <v>014778738</v>
      </c>
      <c r="G1324" s="1" t="s">
        <v>1942</v>
      </c>
      <c r="H1324" s="1" t="s">
        <v>15</v>
      </c>
      <c r="I1324" s="3" t="str">
        <f>"25"</f>
        <v>25</v>
      </c>
      <c r="J1324" s="3" t="str">
        <f>"7830"</f>
        <v>7830</v>
      </c>
      <c r="K1324" s="2">
        <v>45896</v>
      </c>
      <c r="L1324" s="2">
        <v>45899</v>
      </c>
      <c r="M1324" s="1" t="s">
        <v>3145</v>
      </c>
      <c r="N1324" s="1" t="s">
        <v>4343</v>
      </c>
    </row>
    <row r="1325" spans="1:14" x14ac:dyDescent="0.35">
      <c r="A1325" s="1" t="s">
        <v>4321</v>
      </c>
      <c r="B1325" s="3" t="s">
        <v>2248</v>
      </c>
      <c r="C1325" s="1" t="s">
        <v>2375</v>
      </c>
      <c r="D1325" s="1" t="s">
        <v>7844</v>
      </c>
      <c r="E1325" s="1" t="str">
        <f>"6910"</f>
        <v>6910</v>
      </c>
      <c r="F1325" s="1" t="s">
        <v>3926</v>
      </c>
      <c r="G1325" s="1" t="s">
        <v>3927</v>
      </c>
      <c r="H1325" s="1" t="s">
        <v>15</v>
      </c>
      <c r="I1325" s="3" t="str">
        <f>"12"</f>
        <v>12</v>
      </c>
      <c r="J1325" s="3" t="str">
        <f>"183"</f>
        <v>183</v>
      </c>
      <c r="K1325" s="2">
        <v>45896</v>
      </c>
      <c r="L1325" s="2">
        <v>45899</v>
      </c>
      <c r="M1325" s="1" t="s">
        <v>7841</v>
      </c>
      <c r="N1325" s="1" t="s">
        <v>7843</v>
      </c>
    </row>
    <row r="1326" spans="1:14" x14ac:dyDescent="0.35">
      <c r="A1326" s="1" t="s">
        <v>4321</v>
      </c>
      <c r="B1326" s="3" t="s">
        <v>2248</v>
      </c>
      <c r="C1326" s="1" t="s">
        <v>2375</v>
      </c>
      <c r="D1326" s="1" t="s">
        <v>7842</v>
      </c>
      <c r="E1326" s="1" t="str">
        <f>"6920"</f>
        <v>6920</v>
      </c>
      <c r="F1326" s="1" t="s">
        <v>2759</v>
      </c>
      <c r="G1326" s="1" t="s">
        <v>2760</v>
      </c>
      <c r="H1326" s="1" t="s">
        <v>15</v>
      </c>
      <c r="I1326" s="3" t="str">
        <f>"1"</f>
        <v>1</v>
      </c>
      <c r="J1326" s="3">
        <v>183.59</v>
      </c>
      <c r="K1326" s="2">
        <v>45896</v>
      </c>
      <c r="L1326" s="2">
        <v>45899</v>
      </c>
      <c r="M1326" s="1" t="s">
        <v>7841</v>
      </c>
      <c r="N1326" s="1" t="s">
        <v>7840</v>
      </c>
    </row>
    <row r="1327" spans="1:14" x14ac:dyDescent="0.35">
      <c r="A1327" s="1" t="s">
        <v>4321</v>
      </c>
      <c r="B1327" s="3" t="s">
        <v>1844</v>
      </c>
      <c r="C1327" s="1" t="s">
        <v>7839</v>
      </c>
      <c r="D1327" s="1" t="s">
        <v>7838</v>
      </c>
      <c r="E1327" s="1" t="str">
        <f>"5855"</f>
        <v>5855</v>
      </c>
      <c r="F1327" s="1" t="str">
        <f>"014778738"</f>
        <v>014778738</v>
      </c>
      <c r="G1327" s="1" t="s">
        <v>1942</v>
      </c>
      <c r="H1327" s="1" t="s">
        <v>15</v>
      </c>
      <c r="I1327" s="3" t="str">
        <f>"3"</f>
        <v>3</v>
      </c>
      <c r="J1327" s="3" t="str">
        <f>"7830"</f>
        <v>7830</v>
      </c>
      <c r="K1327" s="2">
        <v>45896</v>
      </c>
      <c r="L1327" s="2">
        <v>45899</v>
      </c>
      <c r="M1327" s="1" t="s">
        <v>7837</v>
      </c>
      <c r="N1327" s="1" t="s">
        <v>7836</v>
      </c>
    </row>
    <row r="1328" spans="1:14" x14ac:dyDescent="0.35">
      <c r="A1328" s="1" t="s">
        <v>4321</v>
      </c>
      <c r="B1328" s="3" t="s">
        <v>3105</v>
      </c>
      <c r="C1328" s="1" t="s">
        <v>3114</v>
      </c>
      <c r="D1328" s="1" t="s">
        <v>7835</v>
      </c>
      <c r="E1328" s="1" t="str">
        <f>"6720"</f>
        <v>6720</v>
      </c>
      <c r="F1328" s="1" t="s">
        <v>443</v>
      </c>
      <c r="G1328" s="1" t="s">
        <v>444</v>
      </c>
      <c r="H1328" s="1" t="s">
        <v>15</v>
      </c>
      <c r="I1328" s="3" t="str">
        <f>"1"</f>
        <v>1</v>
      </c>
      <c r="J1328" s="3" t="str">
        <f>"2000"</f>
        <v>2000</v>
      </c>
      <c r="K1328" s="2">
        <v>45895</v>
      </c>
      <c r="L1328" s="2">
        <v>45899</v>
      </c>
      <c r="M1328" s="1" t="s">
        <v>3116</v>
      </c>
      <c r="N1328" s="1" t="s">
        <v>7834</v>
      </c>
    </row>
    <row r="1329" spans="1:14" x14ac:dyDescent="0.35">
      <c r="A1329" s="1" t="s">
        <v>4321</v>
      </c>
      <c r="B1329" s="3" t="s">
        <v>4087</v>
      </c>
      <c r="C1329" s="1" t="s">
        <v>4143</v>
      </c>
      <c r="D1329" s="1" t="s">
        <v>7833</v>
      </c>
      <c r="E1329" s="1" t="str">
        <f>"7520"</f>
        <v>7520</v>
      </c>
      <c r="F1329" s="1" t="str">
        <f>"009357135"</f>
        <v>009357135</v>
      </c>
      <c r="G1329" s="1" t="s">
        <v>4186</v>
      </c>
      <c r="H1329" s="1" t="s">
        <v>4183</v>
      </c>
      <c r="I1329" s="3" t="str">
        <f>"2"</f>
        <v>2</v>
      </c>
      <c r="J1329" s="3">
        <v>11.47</v>
      </c>
      <c r="K1329" s="2">
        <v>45895</v>
      </c>
      <c r="L1329" s="2">
        <v>45899</v>
      </c>
      <c r="M1329" s="1" t="s">
        <v>7565</v>
      </c>
      <c r="N1329" s="1" t="s">
        <v>7832</v>
      </c>
    </row>
    <row r="1330" spans="1:14" x14ac:dyDescent="0.35">
      <c r="A1330" s="1" t="s">
        <v>4321</v>
      </c>
      <c r="B1330" s="3" t="s">
        <v>5157</v>
      </c>
      <c r="C1330" s="1" t="s">
        <v>5156</v>
      </c>
      <c r="D1330" s="1" t="s">
        <v>7831</v>
      </c>
      <c r="E1330" s="1" t="str">
        <f>"5855"</f>
        <v>5855</v>
      </c>
      <c r="F1330" s="1" t="str">
        <f>"014778738"</f>
        <v>014778738</v>
      </c>
      <c r="G1330" s="1" t="s">
        <v>1942</v>
      </c>
      <c r="H1330" s="1" t="s">
        <v>15</v>
      </c>
      <c r="I1330" s="3" t="str">
        <f>"4"</f>
        <v>4</v>
      </c>
      <c r="J1330" s="3" t="str">
        <f>"7830"</f>
        <v>7830</v>
      </c>
      <c r="K1330" s="2">
        <v>45894</v>
      </c>
      <c r="L1330" s="2">
        <v>45899</v>
      </c>
      <c r="M1330" s="1" t="s">
        <v>7830</v>
      </c>
      <c r="N1330" s="1" t="s">
        <v>4343</v>
      </c>
    </row>
    <row r="1331" spans="1:14" x14ac:dyDescent="0.35">
      <c r="A1331" s="1" t="s">
        <v>4321</v>
      </c>
      <c r="B1331" s="3" t="s">
        <v>93</v>
      </c>
      <c r="C1331" s="1" t="s">
        <v>387</v>
      </c>
      <c r="D1331" s="1" t="s">
        <v>7829</v>
      </c>
      <c r="E1331" s="1" t="str">
        <f>"5855"</f>
        <v>5855</v>
      </c>
      <c r="F1331" s="1" t="s">
        <v>285</v>
      </c>
      <c r="G1331" s="1" t="s">
        <v>286</v>
      </c>
      <c r="H1331" s="1" t="s">
        <v>15</v>
      </c>
      <c r="I1331" s="3" t="str">
        <f>"1"</f>
        <v>1</v>
      </c>
      <c r="J1331" s="3" t="str">
        <f>"290000"</f>
        <v>290000</v>
      </c>
      <c r="K1331" s="2">
        <v>45893</v>
      </c>
      <c r="L1331" s="2">
        <v>45899</v>
      </c>
      <c r="M1331" s="1" t="s">
        <v>7828</v>
      </c>
      <c r="N1331" s="1" t="s">
        <v>4343</v>
      </c>
    </row>
    <row r="1332" spans="1:14" x14ac:dyDescent="0.35">
      <c r="A1332" s="1" t="s">
        <v>4321</v>
      </c>
      <c r="B1332" s="3" t="s">
        <v>93</v>
      </c>
      <c r="C1332" s="1" t="s">
        <v>7811</v>
      </c>
      <c r="D1332" s="1" t="s">
        <v>7827</v>
      </c>
      <c r="E1332" s="1" t="str">
        <f>"2340"</f>
        <v>2340</v>
      </c>
      <c r="F1332" s="1" t="s">
        <v>647</v>
      </c>
      <c r="G1332" s="1" t="s">
        <v>648</v>
      </c>
      <c r="H1332" s="1" t="s">
        <v>15</v>
      </c>
      <c r="I1332" s="3" t="str">
        <f>"1"</f>
        <v>1</v>
      </c>
      <c r="J1332" s="3" t="str">
        <f>"14918"</f>
        <v>14918</v>
      </c>
      <c r="K1332" s="2">
        <v>45891</v>
      </c>
      <c r="L1332" s="2">
        <v>45899</v>
      </c>
      <c r="M1332" s="1" t="s">
        <v>7826</v>
      </c>
      <c r="N1332" s="1" t="s">
        <v>7825</v>
      </c>
    </row>
    <row r="1333" spans="1:14" x14ac:dyDescent="0.35">
      <c r="A1333" s="1" t="s">
        <v>4321</v>
      </c>
      <c r="B1333" s="3" t="s">
        <v>1848</v>
      </c>
      <c r="C1333" s="1" t="s">
        <v>1849</v>
      </c>
      <c r="D1333" s="1" t="s">
        <v>7824</v>
      </c>
      <c r="E1333" s="1" t="str">
        <f>"2910"</f>
        <v>2910</v>
      </c>
      <c r="F1333" s="1" t="str">
        <f>"014702905"</f>
        <v>014702905</v>
      </c>
      <c r="G1333" s="1" t="s">
        <v>7823</v>
      </c>
      <c r="H1333" s="1" t="s">
        <v>15</v>
      </c>
      <c r="I1333" s="3" t="str">
        <f>"1"</f>
        <v>1</v>
      </c>
      <c r="J1333" s="3">
        <v>438.84</v>
      </c>
      <c r="K1333" s="2">
        <v>45891</v>
      </c>
      <c r="L1333" s="2">
        <v>45899</v>
      </c>
      <c r="M1333" s="1" t="s">
        <v>7822</v>
      </c>
      <c r="N1333" s="1" t="s">
        <v>7821</v>
      </c>
    </row>
    <row r="1334" spans="1:14" x14ac:dyDescent="0.35">
      <c r="A1334" s="1" t="s">
        <v>4321</v>
      </c>
      <c r="B1334" s="3" t="s">
        <v>93</v>
      </c>
      <c r="C1334" s="1" t="s">
        <v>369</v>
      </c>
      <c r="D1334" s="1" t="s">
        <v>7820</v>
      </c>
      <c r="E1334" s="1" t="str">
        <f>"2340"</f>
        <v>2340</v>
      </c>
      <c r="F1334" s="1" t="s">
        <v>647</v>
      </c>
      <c r="G1334" s="1" t="s">
        <v>648</v>
      </c>
      <c r="H1334" s="1" t="s">
        <v>15</v>
      </c>
      <c r="I1334" s="3" t="str">
        <f>"1"</f>
        <v>1</v>
      </c>
      <c r="J1334" s="3" t="str">
        <f>"14918"</f>
        <v>14918</v>
      </c>
      <c r="K1334" s="2">
        <v>45891</v>
      </c>
      <c r="L1334" s="2">
        <v>45899</v>
      </c>
      <c r="M1334" s="1" t="s">
        <v>7819</v>
      </c>
      <c r="N1334" s="1" t="s">
        <v>7818</v>
      </c>
    </row>
    <row r="1335" spans="1:14" x14ac:dyDescent="0.35">
      <c r="A1335" s="1" t="s">
        <v>4321</v>
      </c>
      <c r="B1335" s="3" t="s">
        <v>93</v>
      </c>
      <c r="C1335" s="1" t="s">
        <v>387</v>
      </c>
      <c r="D1335" s="1" t="s">
        <v>7817</v>
      </c>
      <c r="E1335" s="1" t="str">
        <f>"2320"</f>
        <v>2320</v>
      </c>
      <c r="F1335" s="1" t="str">
        <f>"012157631"</f>
        <v>012157631</v>
      </c>
      <c r="G1335" s="1" t="s">
        <v>117</v>
      </c>
      <c r="H1335" s="1" t="s">
        <v>15</v>
      </c>
      <c r="I1335" s="3" t="str">
        <f>"1"</f>
        <v>1</v>
      </c>
      <c r="J1335" s="3" t="str">
        <f>"33082"</f>
        <v>33082</v>
      </c>
      <c r="K1335" s="2">
        <v>45891</v>
      </c>
      <c r="L1335" s="2">
        <v>45899</v>
      </c>
      <c r="M1335" s="1" t="s">
        <v>7816</v>
      </c>
      <c r="N1335" s="1" t="s">
        <v>7815</v>
      </c>
    </row>
    <row r="1336" spans="1:14" x14ac:dyDescent="0.35">
      <c r="A1336" s="1" t="s">
        <v>4321</v>
      </c>
      <c r="B1336" s="3" t="s">
        <v>93</v>
      </c>
      <c r="C1336" s="1" t="s">
        <v>387</v>
      </c>
      <c r="D1336" s="1" t="s">
        <v>7814</v>
      </c>
      <c r="E1336" s="1" t="str">
        <f>"2340"</f>
        <v>2340</v>
      </c>
      <c r="F1336" s="1" t="s">
        <v>647</v>
      </c>
      <c r="G1336" s="1" t="s">
        <v>648</v>
      </c>
      <c r="H1336" s="1" t="s">
        <v>15</v>
      </c>
      <c r="I1336" s="3" t="str">
        <f>"1"</f>
        <v>1</v>
      </c>
      <c r="J1336" s="3" t="str">
        <f>"14918"</f>
        <v>14918</v>
      </c>
      <c r="K1336" s="2">
        <v>45891</v>
      </c>
      <c r="L1336" s="2">
        <v>45899</v>
      </c>
      <c r="M1336" s="1" t="s">
        <v>7813</v>
      </c>
      <c r="N1336" s="1" t="s">
        <v>7812</v>
      </c>
    </row>
    <row r="1337" spans="1:14" x14ac:dyDescent="0.35">
      <c r="A1337" s="1" t="s">
        <v>4321</v>
      </c>
      <c r="B1337" s="3" t="s">
        <v>93</v>
      </c>
      <c r="C1337" s="1" t="s">
        <v>7811</v>
      </c>
      <c r="D1337" s="1" t="s">
        <v>7810</v>
      </c>
      <c r="E1337" s="1" t="str">
        <f>"2310"</f>
        <v>2310</v>
      </c>
      <c r="F1337" s="1" t="s">
        <v>413</v>
      </c>
      <c r="G1337" s="1" t="s">
        <v>414</v>
      </c>
      <c r="H1337" s="1" t="s">
        <v>15</v>
      </c>
      <c r="I1337" s="3" t="str">
        <f>"1"</f>
        <v>1</v>
      </c>
      <c r="J1337" s="3">
        <v>12553.95</v>
      </c>
      <c r="K1337" s="2">
        <v>45890</v>
      </c>
      <c r="L1337" s="2">
        <v>45899</v>
      </c>
      <c r="M1337" s="1" t="s">
        <v>7809</v>
      </c>
      <c r="N1337" s="1" t="s">
        <v>7808</v>
      </c>
    </row>
    <row r="1338" spans="1:14" x14ac:dyDescent="0.35">
      <c r="A1338" s="1" t="s">
        <v>4321</v>
      </c>
      <c r="B1338" s="3" t="s">
        <v>1848</v>
      </c>
      <c r="C1338" s="1" t="s">
        <v>1849</v>
      </c>
      <c r="D1338" s="1" t="s">
        <v>7807</v>
      </c>
      <c r="E1338" s="1" t="str">
        <f>"3920"</f>
        <v>3920</v>
      </c>
      <c r="F1338" s="1" t="s">
        <v>486</v>
      </c>
      <c r="G1338" s="1" t="s">
        <v>487</v>
      </c>
      <c r="H1338" s="1" t="s">
        <v>15</v>
      </c>
      <c r="I1338" s="3" t="str">
        <f>"1"</f>
        <v>1</v>
      </c>
      <c r="J1338" s="3" t="str">
        <f>"10"</f>
        <v>10</v>
      </c>
      <c r="K1338" s="2">
        <v>45890</v>
      </c>
      <c r="L1338" s="2">
        <v>45899</v>
      </c>
      <c r="M1338" s="1" t="s">
        <v>7806</v>
      </c>
      <c r="N1338" s="1" t="s">
        <v>7805</v>
      </c>
    </row>
    <row r="1339" spans="1:14" x14ac:dyDescent="0.35">
      <c r="A1339" s="1" t="s">
        <v>4321</v>
      </c>
      <c r="B1339" s="3" t="s">
        <v>1848</v>
      </c>
      <c r="C1339" s="1" t="s">
        <v>1849</v>
      </c>
      <c r="D1339" s="1" t="s">
        <v>7804</v>
      </c>
      <c r="E1339" s="1" t="str">
        <f>"5855"</f>
        <v>5855</v>
      </c>
      <c r="F1339" s="1" t="s">
        <v>285</v>
      </c>
      <c r="G1339" s="1" t="s">
        <v>286</v>
      </c>
      <c r="H1339" s="1" t="s">
        <v>15</v>
      </c>
      <c r="I1339" s="3" t="str">
        <f>"1"</f>
        <v>1</v>
      </c>
      <c r="J1339" s="3" t="str">
        <f>"290000"</f>
        <v>290000</v>
      </c>
      <c r="K1339" s="2">
        <v>45890</v>
      </c>
      <c r="L1339" s="2">
        <v>45899</v>
      </c>
      <c r="M1339" s="1" t="s">
        <v>7803</v>
      </c>
      <c r="N1339" s="1" t="s">
        <v>7802</v>
      </c>
    </row>
    <row r="1340" spans="1:14" x14ac:dyDescent="0.35">
      <c r="A1340" s="1" t="s">
        <v>4321</v>
      </c>
      <c r="B1340" s="3" t="s">
        <v>11</v>
      </c>
      <c r="C1340" s="1" t="s">
        <v>7790</v>
      </c>
      <c r="D1340" s="1" t="s">
        <v>7801</v>
      </c>
      <c r="E1340" s="1" t="str">
        <f>"6130"</f>
        <v>6130</v>
      </c>
      <c r="F1340" s="1" t="str">
        <f>"013755496"</f>
        <v>013755496</v>
      </c>
      <c r="G1340" s="1" t="s">
        <v>7800</v>
      </c>
      <c r="H1340" s="1" t="s">
        <v>15</v>
      </c>
      <c r="I1340" s="3" t="str">
        <f>"1"</f>
        <v>1</v>
      </c>
      <c r="J1340" s="3" t="str">
        <f>"60454"</f>
        <v>60454</v>
      </c>
      <c r="K1340" s="2">
        <v>45890</v>
      </c>
      <c r="L1340" s="2">
        <v>45899</v>
      </c>
      <c r="M1340" s="1" t="s">
        <v>7799</v>
      </c>
      <c r="N1340" s="1" t="s">
        <v>4343</v>
      </c>
    </row>
    <row r="1341" spans="1:14" x14ac:dyDescent="0.35">
      <c r="A1341" s="1" t="s">
        <v>4321</v>
      </c>
      <c r="B1341" s="3" t="s">
        <v>2720</v>
      </c>
      <c r="C1341" s="1" t="s">
        <v>2745</v>
      </c>
      <c r="D1341" s="1" t="s">
        <v>7798</v>
      </c>
      <c r="E1341" s="1" t="str">
        <f>"8465"</f>
        <v>8465</v>
      </c>
      <c r="F1341" s="1" t="str">
        <f>"013969922"</f>
        <v>013969922</v>
      </c>
      <c r="G1341" s="1" t="s">
        <v>852</v>
      </c>
      <c r="H1341" s="1" t="s">
        <v>15</v>
      </c>
      <c r="I1341" s="3" t="str">
        <f>"4"</f>
        <v>4</v>
      </c>
      <c r="J1341" s="3" t="str">
        <f>"119"</f>
        <v>119</v>
      </c>
      <c r="K1341" s="2">
        <v>45889</v>
      </c>
      <c r="L1341" s="2">
        <v>45899</v>
      </c>
      <c r="M1341" s="1" t="s">
        <v>2750</v>
      </c>
      <c r="N1341" s="1" t="s">
        <v>7797</v>
      </c>
    </row>
    <row r="1342" spans="1:14" x14ac:dyDescent="0.35">
      <c r="A1342" s="1" t="s">
        <v>4321</v>
      </c>
      <c r="B1342" s="3" t="s">
        <v>1848</v>
      </c>
      <c r="C1342" s="1" t="s">
        <v>1849</v>
      </c>
      <c r="D1342" s="1" t="s">
        <v>7796</v>
      </c>
      <c r="E1342" s="1" t="str">
        <f>"3990"</f>
        <v>3990</v>
      </c>
      <c r="F1342" s="1" t="s">
        <v>154</v>
      </c>
      <c r="G1342" s="1" t="s">
        <v>155</v>
      </c>
      <c r="H1342" s="1" t="s">
        <v>15</v>
      </c>
      <c r="I1342" s="3" t="str">
        <f>"1"</f>
        <v>1</v>
      </c>
      <c r="J1342" s="3" t="str">
        <f>"8850"</f>
        <v>8850</v>
      </c>
      <c r="K1342" s="2">
        <v>45889</v>
      </c>
      <c r="L1342" s="2">
        <v>45899</v>
      </c>
      <c r="M1342" s="1" t="s">
        <v>7795</v>
      </c>
      <c r="N1342" s="1" t="s">
        <v>7794</v>
      </c>
    </row>
    <row r="1343" spans="1:14" x14ac:dyDescent="0.35">
      <c r="A1343" s="1" t="s">
        <v>4321</v>
      </c>
      <c r="B1343" s="3" t="s">
        <v>93</v>
      </c>
      <c r="C1343" s="1" t="s">
        <v>369</v>
      </c>
      <c r="D1343" s="1" t="s">
        <v>7793</v>
      </c>
      <c r="E1343" s="1" t="str">
        <f>"2340"</f>
        <v>2340</v>
      </c>
      <c r="F1343" s="1" t="s">
        <v>278</v>
      </c>
      <c r="G1343" s="1" t="s">
        <v>279</v>
      </c>
      <c r="H1343" s="1" t="s">
        <v>15</v>
      </c>
      <c r="I1343" s="3" t="str">
        <f>"1"</f>
        <v>1</v>
      </c>
      <c r="J1343" s="3">
        <v>12315.66</v>
      </c>
      <c r="K1343" s="2">
        <v>45889</v>
      </c>
      <c r="L1343" s="2">
        <v>45899</v>
      </c>
      <c r="M1343" s="1" t="s">
        <v>7792</v>
      </c>
      <c r="N1343" s="1" t="s">
        <v>7791</v>
      </c>
    </row>
    <row r="1344" spans="1:14" x14ac:dyDescent="0.35">
      <c r="A1344" s="1" t="s">
        <v>4321</v>
      </c>
      <c r="B1344" s="3" t="s">
        <v>11</v>
      </c>
      <c r="C1344" s="1" t="s">
        <v>7790</v>
      </c>
      <c r="D1344" s="1" t="s">
        <v>7789</v>
      </c>
      <c r="E1344" s="1" t="str">
        <f>"5855"</f>
        <v>5855</v>
      </c>
      <c r="F1344" s="1" t="s">
        <v>285</v>
      </c>
      <c r="G1344" s="1" t="s">
        <v>286</v>
      </c>
      <c r="H1344" s="1" t="s">
        <v>15</v>
      </c>
      <c r="I1344" s="3" t="str">
        <f>"1"</f>
        <v>1</v>
      </c>
      <c r="J1344" s="3" t="str">
        <f>"290000"</f>
        <v>290000</v>
      </c>
      <c r="K1344" s="2">
        <v>45889</v>
      </c>
      <c r="L1344" s="2">
        <v>45899</v>
      </c>
      <c r="M1344" s="1" t="s">
        <v>7788</v>
      </c>
      <c r="N1344" s="1" t="s">
        <v>4343</v>
      </c>
    </row>
    <row r="1345" spans="1:14" x14ac:dyDescent="0.35">
      <c r="A1345" s="1" t="s">
        <v>4321</v>
      </c>
      <c r="B1345" s="3" t="s">
        <v>1848</v>
      </c>
      <c r="C1345" s="1" t="s">
        <v>1849</v>
      </c>
      <c r="D1345" s="1" t="s">
        <v>7787</v>
      </c>
      <c r="E1345" s="1" t="str">
        <f>"4910"</f>
        <v>4910</v>
      </c>
      <c r="F1345" s="1" t="s">
        <v>264</v>
      </c>
      <c r="G1345" s="1" t="s">
        <v>265</v>
      </c>
      <c r="H1345" s="1" t="s">
        <v>15</v>
      </c>
      <c r="I1345" s="3" t="str">
        <f>"1"</f>
        <v>1</v>
      </c>
      <c r="J1345" s="3" t="str">
        <f>"8330"</f>
        <v>8330</v>
      </c>
      <c r="K1345" s="2">
        <v>45888</v>
      </c>
      <c r="L1345" s="2">
        <v>45899</v>
      </c>
      <c r="M1345" s="1" t="s">
        <v>7786</v>
      </c>
      <c r="N1345" s="1" t="s">
        <v>7785</v>
      </c>
    </row>
    <row r="1346" spans="1:14" x14ac:dyDescent="0.35">
      <c r="A1346" s="1" t="s">
        <v>4321</v>
      </c>
      <c r="B1346" s="3" t="s">
        <v>2638</v>
      </c>
      <c r="C1346" s="1" t="s">
        <v>2645</v>
      </c>
      <c r="D1346" s="1" t="s">
        <v>7784</v>
      </c>
      <c r="E1346" s="1" t="str">
        <f>"5855"</f>
        <v>5855</v>
      </c>
      <c r="F1346" s="1" t="str">
        <f>"014502333"</f>
        <v>014502333</v>
      </c>
      <c r="G1346" s="1" t="s">
        <v>1947</v>
      </c>
      <c r="H1346" s="1" t="s">
        <v>15</v>
      </c>
      <c r="I1346" s="3" t="str">
        <f>"3"</f>
        <v>3</v>
      </c>
      <c r="J1346" s="3">
        <v>10398.299999999999</v>
      </c>
      <c r="K1346" s="2">
        <v>45887</v>
      </c>
      <c r="L1346" s="2">
        <v>45899</v>
      </c>
      <c r="M1346" s="1" t="s">
        <v>7783</v>
      </c>
      <c r="N1346" s="1" t="s">
        <v>7782</v>
      </c>
    </row>
    <row r="1347" spans="1:14" x14ac:dyDescent="0.35">
      <c r="A1347" s="1" t="s">
        <v>4321</v>
      </c>
      <c r="B1347" s="3" t="s">
        <v>1944</v>
      </c>
      <c r="C1347" s="1" t="s">
        <v>7302</v>
      </c>
      <c r="D1347" s="1" t="s">
        <v>7781</v>
      </c>
      <c r="E1347" s="1" t="str">
        <f>"2320"</f>
        <v>2320</v>
      </c>
      <c r="F1347" s="1" t="s">
        <v>3361</v>
      </c>
      <c r="G1347" s="1" t="s">
        <v>3362</v>
      </c>
      <c r="H1347" s="1" t="s">
        <v>15</v>
      </c>
      <c r="I1347" s="3" t="str">
        <f>"1"</f>
        <v>1</v>
      </c>
      <c r="J1347" s="3" t="str">
        <f>"957600"</f>
        <v>957600</v>
      </c>
      <c r="K1347" s="2">
        <v>45887</v>
      </c>
      <c r="L1347" s="2">
        <v>45899</v>
      </c>
      <c r="M1347" s="1" t="s">
        <v>7780</v>
      </c>
      <c r="N1347" s="1" t="s">
        <v>7779</v>
      </c>
    </row>
    <row r="1348" spans="1:14" x14ac:dyDescent="0.35">
      <c r="A1348" s="1" t="s">
        <v>4321</v>
      </c>
      <c r="B1348" s="3" t="s">
        <v>4253</v>
      </c>
      <c r="C1348" s="1" t="s">
        <v>7778</v>
      </c>
      <c r="D1348" s="1" t="s">
        <v>7777</v>
      </c>
      <c r="E1348" s="1" t="str">
        <f>"2330"</f>
        <v>2330</v>
      </c>
      <c r="F1348" s="1" t="s">
        <v>70</v>
      </c>
      <c r="G1348" s="1" t="s">
        <v>71</v>
      </c>
      <c r="H1348" s="1" t="s">
        <v>15</v>
      </c>
      <c r="I1348" s="3" t="str">
        <f>"1"</f>
        <v>1</v>
      </c>
      <c r="J1348" s="3" t="str">
        <f>"54300"</f>
        <v>54300</v>
      </c>
      <c r="K1348" s="2">
        <v>45887</v>
      </c>
      <c r="L1348" s="2">
        <v>45899</v>
      </c>
      <c r="M1348" s="1" t="s">
        <v>7776</v>
      </c>
      <c r="N1348" s="1" t="s">
        <v>7775</v>
      </c>
    </row>
    <row r="1349" spans="1:14" x14ac:dyDescent="0.35">
      <c r="A1349" s="1" t="s">
        <v>4321</v>
      </c>
      <c r="B1349" s="3" t="s">
        <v>2720</v>
      </c>
      <c r="C1349" s="1" t="s">
        <v>2765</v>
      </c>
      <c r="D1349" s="1" t="s">
        <v>7774</v>
      </c>
      <c r="E1349" s="1" t="str">
        <f>"2340"</f>
        <v>2340</v>
      </c>
      <c r="F1349" s="1" t="s">
        <v>2003</v>
      </c>
      <c r="G1349" s="1" t="s">
        <v>2004</v>
      </c>
      <c r="H1349" s="1" t="s">
        <v>15</v>
      </c>
      <c r="I1349" s="3" t="str">
        <f>"1"</f>
        <v>1</v>
      </c>
      <c r="J1349" s="3" t="str">
        <f>"15000"</f>
        <v>15000</v>
      </c>
      <c r="K1349" s="2">
        <v>45887</v>
      </c>
      <c r="L1349" s="2">
        <v>45899</v>
      </c>
      <c r="M1349" s="1" t="s">
        <v>7773</v>
      </c>
      <c r="N1349" s="1" t="s">
        <v>7772</v>
      </c>
    </row>
    <row r="1350" spans="1:14" x14ac:dyDescent="0.35">
      <c r="A1350" s="1" t="s">
        <v>4321</v>
      </c>
      <c r="B1350" s="3" t="s">
        <v>3183</v>
      </c>
      <c r="C1350" s="1" t="s">
        <v>3306</v>
      </c>
      <c r="D1350" s="1" t="s">
        <v>7771</v>
      </c>
      <c r="E1350" s="1" t="str">
        <f>"2330"</f>
        <v>2330</v>
      </c>
      <c r="F1350" s="1" t="str">
        <f>"016131206"</f>
        <v>016131206</v>
      </c>
      <c r="G1350" s="1" t="s">
        <v>2383</v>
      </c>
      <c r="H1350" s="1" t="s">
        <v>15</v>
      </c>
      <c r="I1350" s="3" t="str">
        <f>"1"</f>
        <v>1</v>
      </c>
      <c r="J1350" s="3" t="str">
        <f>"35000"</f>
        <v>35000</v>
      </c>
      <c r="K1350" s="2">
        <v>45887</v>
      </c>
      <c r="L1350" s="2">
        <v>45899</v>
      </c>
      <c r="M1350" s="1" t="s">
        <v>7770</v>
      </c>
      <c r="N1350" s="1" t="s">
        <v>7769</v>
      </c>
    </row>
    <row r="1351" spans="1:14" x14ac:dyDescent="0.35">
      <c r="A1351" s="1" t="s">
        <v>4321</v>
      </c>
      <c r="B1351" s="3" t="s">
        <v>3183</v>
      </c>
      <c r="C1351" s="1" t="s">
        <v>3311</v>
      </c>
      <c r="D1351" s="1" t="s">
        <v>7768</v>
      </c>
      <c r="E1351" s="1" t="str">
        <f>"2320"</f>
        <v>2320</v>
      </c>
      <c r="F1351" s="1" t="s">
        <v>3361</v>
      </c>
      <c r="G1351" s="1" t="s">
        <v>3362</v>
      </c>
      <c r="H1351" s="1" t="s">
        <v>15</v>
      </c>
      <c r="I1351" s="3" t="str">
        <f>"1"</f>
        <v>1</v>
      </c>
      <c r="J1351" s="3" t="str">
        <f>"957600"</f>
        <v>957600</v>
      </c>
      <c r="K1351" s="2">
        <v>45887</v>
      </c>
      <c r="L1351" s="2">
        <v>45899</v>
      </c>
      <c r="M1351" s="1" t="s">
        <v>7767</v>
      </c>
      <c r="N1351" s="1" t="s">
        <v>7766</v>
      </c>
    </row>
    <row r="1352" spans="1:14" x14ac:dyDescent="0.35">
      <c r="A1352" s="1" t="s">
        <v>4321</v>
      </c>
      <c r="B1352" s="3" t="s">
        <v>1848</v>
      </c>
      <c r="C1352" s="1" t="s">
        <v>1849</v>
      </c>
      <c r="D1352" s="1" t="s">
        <v>7765</v>
      </c>
      <c r="E1352" s="1" t="str">
        <f>"2330"</f>
        <v>2330</v>
      </c>
      <c r="F1352" s="1" t="s">
        <v>70</v>
      </c>
      <c r="G1352" s="1" t="s">
        <v>71</v>
      </c>
      <c r="H1352" s="1" t="s">
        <v>15</v>
      </c>
      <c r="I1352" s="3" t="str">
        <f>"1"</f>
        <v>1</v>
      </c>
      <c r="J1352" s="3" t="str">
        <f>"2360"</f>
        <v>2360</v>
      </c>
      <c r="K1352" s="2">
        <v>45887</v>
      </c>
      <c r="L1352" s="2">
        <v>45899</v>
      </c>
      <c r="M1352" s="1" t="s">
        <v>7764</v>
      </c>
      <c r="N1352" s="1" t="s">
        <v>7763</v>
      </c>
    </row>
    <row r="1353" spans="1:14" x14ac:dyDescent="0.35">
      <c r="A1353" s="1" t="s">
        <v>4321</v>
      </c>
      <c r="B1353" s="3" t="s">
        <v>1317</v>
      </c>
      <c r="C1353" s="1" t="s">
        <v>1381</v>
      </c>
      <c r="D1353" s="1" t="s">
        <v>7762</v>
      </c>
      <c r="E1353" s="1" t="str">
        <f>"5965"</f>
        <v>5965</v>
      </c>
      <c r="F1353" s="1" t="str">
        <f>"226296584"</f>
        <v>226296584</v>
      </c>
      <c r="G1353" s="1" t="s">
        <v>1389</v>
      </c>
      <c r="H1353" s="1" t="s">
        <v>15</v>
      </c>
      <c r="I1353" s="3" t="str">
        <f>"5"</f>
        <v>5</v>
      </c>
      <c r="J1353" s="3">
        <v>1567.84</v>
      </c>
      <c r="K1353" s="2">
        <v>45887</v>
      </c>
      <c r="L1353" s="2">
        <v>45899</v>
      </c>
      <c r="M1353" s="1" t="s">
        <v>7761</v>
      </c>
      <c r="N1353" s="1" t="s">
        <v>7760</v>
      </c>
    </row>
    <row r="1354" spans="1:14" x14ac:dyDescent="0.35">
      <c r="A1354" s="1" t="s">
        <v>4321</v>
      </c>
      <c r="B1354" s="3" t="s">
        <v>1317</v>
      </c>
      <c r="C1354" s="1" t="s">
        <v>1381</v>
      </c>
      <c r="D1354" s="1" t="s">
        <v>7759</v>
      </c>
      <c r="E1354" s="1" t="str">
        <f>"6650"</f>
        <v>6650</v>
      </c>
      <c r="F1354" s="1" t="str">
        <f>"014477916"</f>
        <v>014477916</v>
      </c>
      <c r="G1354" s="1" t="s">
        <v>868</v>
      </c>
      <c r="H1354" s="1" t="s">
        <v>15</v>
      </c>
      <c r="I1354" s="3" t="str">
        <f>"4"</f>
        <v>4</v>
      </c>
      <c r="J1354" s="3">
        <v>252.93</v>
      </c>
      <c r="K1354" s="2">
        <v>45887</v>
      </c>
      <c r="L1354" s="2">
        <v>45899</v>
      </c>
      <c r="M1354" s="1" t="s">
        <v>7758</v>
      </c>
      <c r="N1354" s="1" t="s">
        <v>7757</v>
      </c>
    </row>
    <row r="1355" spans="1:14" x14ac:dyDescent="0.35">
      <c r="A1355" s="1" t="s">
        <v>4321</v>
      </c>
      <c r="B1355" s="3" t="s">
        <v>1317</v>
      </c>
      <c r="C1355" s="1" t="s">
        <v>1381</v>
      </c>
      <c r="D1355" s="1" t="s">
        <v>7756</v>
      </c>
      <c r="E1355" s="1" t="str">
        <f>"5855"</f>
        <v>5855</v>
      </c>
      <c r="F1355" s="1" t="str">
        <f>"015380191"</f>
        <v>015380191</v>
      </c>
      <c r="G1355" s="1" t="s">
        <v>703</v>
      </c>
      <c r="H1355" s="1" t="s">
        <v>15</v>
      </c>
      <c r="I1355" s="3" t="str">
        <f>"4"</f>
        <v>4</v>
      </c>
      <c r="J1355" s="3" t="str">
        <f>"1082"</f>
        <v>1082</v>
      </c>
      <c r="K1355" s="2">
        <v>45887</v>
      </c>
      <c r="L1355" s="2">
        <v>45899</v>
      </c>
      <c r="M1355" s="1" t="s">
        <v>7755</v>
      </c>
      <c r="N1355" s="1" t="s">
        <v>7754</v>
      </c>
    </row>
    <row r="1356" spans="1:14" x14ac:dyDescent="0.35">
      <c r="A1356" s="1" t="s">
        <v>4321</v>
      </c>
      <c r="B1356" s="3" t="s">
        <v>4087</v>
      </c>
      <c r="C1356" s="1" t="s">
        <v>4143</v>
      </c>
      <c r="D1356" s="1" t="s">
        <v>7753</v>
      </c>
      <c r="E1356" s="1" t="str">
        <f>"5965"</f>
        <v>5965</v>
      </c>
      <c r="F1356" s="1" t="str">
        <f>"226296584"</f>
        <v>226296584</v>
      </c>
      <c r="G1356" s="1" t="s">
        <v>1389</v>
      </c>
      <c r="H1356" s="1" t="s">
        <v>15</v>
      </c>
      <c r="I1356" s="3" t="str">
        <f>"7"</f>
        <v>7</v>
      </c>
      <c r="J1356" s="3">
        <v>1567.84</v>
      </c>
      <c r="K1356" s="2">
        <v>45887</v>
      </c>
      <c r="L1356" s="2">
        <v>45899</v>
      </c>
      <c r="M1356" s="1" t="s">
        <v>7752</v>
      </c>
      <c r="N1356" s="1" t="s">
        <v>7751</v>
      </c>
    </row>
    <row r="1357" spans="1:14" x14ac:dyDescent="0.35">
      <c r="A1357" s="1" t="s">
        <v>4321</v>
      </c>
      <c r="B1357" s="3" t="s">
        <v>93</v>
      </c>
      <c r="C1357" s="1" t="s">
        <v>387</v>
      </c>
      <c r="D1357" s="1" t="s">
        <v>7750</v>
      </c>
      <c r="E1357" s="1" t="str">
        <f>"2330"</f>
        <v>2330</v>
      </c>
      <c r="F1357" s="1" t="str">
        <f>"016131206"</f>
        <v>016131206</v>
      </c>
      <c r="G1357" s="1" t="s">
        <v>2383</v>
      </c>
      <c r="H1357" s="1" t="s">
        <v>15</v>
      </c>
      <c r="I1357" s="3" t="str">
        <f>"1"</f>
        <v>1</v>
      </c>
      <c r="J1357" s="3" t="str">
        <f>"35000"</f>
        <v>35000</v>
      </c>
      <c r="K1357" s="2">
        <v>45887</v>
      </c>
      <c r="L1357" s="2">
        <v>45899</v>
      </c>
      <c r="M1357" s="1" t="s">
        <v>7749</v>
      </c>
      <c r="N1357" s="1" t="s">
        <v>7748</v>
      </c>
    </row>
    <row r="1358" spans="1:14" x14ac:dyDescent="0.35">
      <c r="A1358" s="1" t="s">
        <v>4321</v>
      </c>
      <c r="B1358" s="3" t="s">
        <v>3105</v>
      </c>
      <c r="C1358" s="1" t="s">
        <v>3141</v>
      </c>
      <c r="D1358" s="1" t="s">
        <v>7747</v>
      </c>
      <c r="E1358" s="1" t="str">
        <f>"5855"</f>
        <v>5855</v>
      </c>
      <c r="F1358" s="1" t="str">
        <f>"015345931"</f>
        <v>015345931</v>
      </c>
      <c r="G1358" s="1" t="s">
        <v>703</v>
      </c>
      <c r="H1358" s="1" t="s">
        <v>15</v>
      </c>
      <c r="I1358" s="3" t="str">
        <f>"2"</f>
        <v>2</v>
      </c>
      <c r="J1358" s="3" t="str">
        <f>"976"</f>
        <v>976</v>
      </c>
      <c r="K1358" s="2">
        <v>45887</v>
      </c>
      <c r="L1358" s="2">
        <v>45899</v>
      </c>
      <c r="M1358" s="1" t="s">
        <v>3145</v>
      </c>
      <c r="N1358" s="1" t="s">
        <v>7746</v>
      </c>
    </row>
    <row r="1359" spans="1:14" x14ac:dyDescent="0.35">
      <c r="A1359" s="1" t="s">
        <v>4321</v>
      </c>
      <c r="B1359" s="3" t="s">
        <v>3513</v>
      </c>
      <c r="C1359" s="1" t="s">
        <v>3839</v>
      </c>
      <c r="D1359" s="1" t="s">
        <v>7745</v>
      </c>
      <c r="E1359" s="1" t="str">
        <f>"2320"</f>
        <v>2320</v>
      </c>
      <c r="F1359" s="1" t="s">
        <v>3361</v>
      </c>
      <c r="G1359" s="1" t="s">
        <v>3362</v>
      </c>
      <c r="H1359" s="1" t="s">
        <v>15</v>
      </c>
      <c r="I1359" s="3" t="str">
        <f>"1"</f>
        <v>1</v>
      </c>
      <c r="J1359" s="3" t="str">
        <f>"957600"</f>
        <v>957600</v>
      </c>
      <c r="K1359" s="2">
        <v>45887</v>
      </c>
      <c r="L1359" s="2">
        <v>45899</v>
      </c>
      <c r="M1359" s="1" t="s">
        <v>7744</v>
      </c>
      <c r="N1359" s="1" t="s">
        <v>7743</v>
      </c>
    </row>
    <row r="1360" spans="1:14" x14ac:dyDescent="0.35">
      <c r="A1360" s="1" t="s">
        <v>4321</v>
      </c>
      <c r="B1360" s="3" t="s">
        <v>2987</v>
      </c>
      <c r="C1360" s="1" t="s">
        <v>3065</v>
      </c>
      <c r="D1360" s="1" t="s">
        <v>7742</v>
      </c>
      <c r="E1360" s="1" t="str">
        <f>"5965"</f>
        <v>5965</v>
      </c>
      <c r="F1360" s="1" t="str">
        <f>"226296584"</f>
        <v>226296584</v>
      </c>
      <c r="G1360" s="1" t="s">
        <v>1389</v>
      </c>
      <c r="H1360" s="1" t="s">
        <v>15</v>
      </c>
      <c r="I1360" s="3" t="str">
        <f>"7"</f>
        <v>7</v>
      </c>
      <c r="J1360" s="3">
        <v>1567.84</v>
      </c>
      <c r="K1360" s="2">
        <v>45887</v>
      </c>
      <c r="L1360" s="2">
        <v>45899</v>
      </c>
      <c r="M1360" s="1" t="s">
        <v>3085</v>
      </c>
      <c r="N1360" s="1" t="s">
        <v>7741</v>
      </c>
    </row>
    <row r="1361" spans="1:14" x14ac:dyDescent="0.35">
      <c r="A1361" s="1" t="s">
        <v>4321</v>
      </c>
      <c r="B1361" s="3" t="s">
        <v>2494</v>
      </c>
      <c r="C1361" s="1" t="s">
        <v>7104</v>
      </c>
      <c r="D1361" s="1" t="s">
        <v>7740</v>
      </c>
      <c r="E1361" s="1" t="str">
        <f>"2330"</f>
        <v>2330</v>
      </c>
      <c r="F1361" s="1" t="s">
        <v>70</v>
      </c>
      <c r="G1361" s="1" t="s">
        <v>71</v>
      </c>
      <c r="H1361" s="1" t="s">
        <v>15</v>
      </c>
      <c r="I1361" s="3" t="str">
        <f>"1"</f>
        <v>1</v>
      </c>
      <c r="J1361" s="3" t="str">
        <f>"40000"</f>
        <v>40000</v>
      </c>
      <c r="K1361" s="2">
        <v>45887</v>
      </c>
      <c r="L1361" s="2">
        <v>45899</v>
      </c>
      <c r="M1361" s="1" t="s">
        <v>7739</v>
      </c>
      <c r="N1361" s="1" t="s">
        <v>7738</v>
      </c>
    </row>
    <row r="1362" spans="1:14" x14ac:dyDescent="0.35">
      <c r="A1362" s="1" t="s">
        <v>4321</v>
      </c>
      <c r="B1362" s="3" t="s">
        <v>1407</v>
      </c>
      <c r="C1362" s="1" t="s">
        <v>1420</v>
      </c>
      <c r="D1362" s="1" t="s">
        <v>7737</v>
      </c>
      <c r="E1362" s="1" t="str">
        <f>"8405"</f>
        <v>8405</v>
      </c>
      <c r="F1362" s="1" t="str">
        <f>"015472555"</f>
        <v>015472555</v>
      </c>
      <c r="G1362" s="1" t="s">
        <v>2863</v>
      </c>
      <c r="H1362" s="1" t="s">
        <v>15</v>
      </c>
      <c r="I1362" s="3" t="str">
        <f>"6"</f>
        <v>6</v>
      </c>
      <c r="J1362" s="3">
        <v>65.52</v>
      </c>
      <c r="K1362" s="2">
        <v>45887</v>
      </c>
      <c r="L1362" s="2">
        <v>45899</v>
      </c>
      <c r="M1362" s="1" t="s">
        <v>7513</v>
      </c>
      <c r="N1362" s="1" t="s">
        <v>7736</v>
      </c>
    </row>
    <row r="1363" spans="1:14" x14ac:dyDescent="0.35">
      <c r="A1363" s="1" t="s">
        <v>4321</v>
      </c>
      <c r="B1363" s="3" t="s">
        <v>691</v>
      </c>
      <c r="C1363" s="1" t="s">
        <v>701</v>
      </c>
      <c r="D1363" s="1" t="s">
        <v>7735</v>
      </c>
      <c r="E1363" s="1" t="str">
        <f>"5855"</f>
        <v>5855</v>
      </c>
      <c r="F1363" s="1" t="str">
        <f>"015380191"</f>
        <v>015380191</v>
      </c>
      <c r="G1363" s="1" t="s">
        <v>703</v>
      </c>
      <c r="H1363" s="1" t="s">
        <v>15</v>
      </c>
      <c r="I1363" s="3" t="str">
        <f>"2"</f>
        <v>2</v>
      </c>
      <c r="J1363" s="3" t="str">
        <f>"1082"</f>
        <v>1082</v>
      </c>
      <c r="K1363" s="2">
        <v>45886</v>
      </c>
      <c r="L1363" s="2">
        <v>45899</v>
      </c>
      <c r="M1363" s="1" t="s">
        <v>7734</v>
      </c>
      <c r="N1363" s="1" t="s">
        <v>7733</v>
      </c>
    </row>
    <row r="1364" spans="1:14" x14ac:dyDescent="0.35">
      <c r="A1364" s="1" t="s">
        <v>4321</v>
      </c>
      <c r="B1364" s="3" t="s">
        <v>691</v>
      </c>
      <c r="C1364" s="1" t="s">
        <v>701</v>
      </c>
      <c r="D1364" s="1" t="s">
        <v>7732</v>
      </c>
      <c r="E1364" s="1" t="str">
        <f>"5855"</f>
        <v>5855</v>
      </c>
      <c r="F1364" s="1" t="str">
        <f>"015777174"</f>
        <v>015777174</v>
      </c>
      <c r="G1364" s="1" t="s">
        <v>1931</v>
      </c>
      <c r="H1364" s="1" t="s">
        <v>15</v>
      </c>
      <c r="I1364" s="3" t="str">
        <f>"3"</f>
        <v>3</v>
      </c>
      <c r="J1364" s="3" t="str">
        <f>"1800"</f>
        <v>1800</v>
      </c>
      <c r="K1364" s="2">
        <v>45886</v>
      </c>
      <c r="L1364" s="2">
        <v>45899</v>
      </c>
      <c r="M1364" s="1" t="s">
        <v>704</v>
      </c>
      <c r="N1364" s="1" t="s">
        <v>7731</v>
      </c>
    </row>
    <row r="1365" spans="1:14" x14ac:dyDescent="0.35">
      <c r="A1365" s="1" t="s">
        <v>4321</v>
      </c>
      <c r="B1365" s="3" t="s">
        <v>691</v>
      </c>
      <c r="C1365" s="1" t="s">
        <v>701</v>
      </c>
      <c r="D1365" s="1" t="s">
        <v>7730</v>
      </c>
      <c r="E1365" s="1" t="str">
        <f>"5855"</f>
        <v>5855</v>
      </c>
      <c r="F1365" s="1" t="str">
        <f>"015330555"</f>
        <v>015330555</v>
      </c>
      <c r="G1365" s="1" t="s">
        <v>2656</v>
      </c>
      <c r="H1365" s="1" t="s">
        <v>15</v>
      </c>
      <c r="I1365" s="3" t="str">
        <f>"2"</f>
        <v>2</v>
      </c>
      <c r="J1365" s="3" t="str">
        <f>"1800"</f>
        <v>1800</v>
      </c>
      <c r="K1365" s="2">
        <v>45886</v>
      </c>
      <c r="L1365" s="2">
        <v>45899</v>
      </c>
      <c r="M1365" s="1" t="s">
        <v>704</v>
      </c>
      <c r="N1365" s="1" t="s">
        <v>7729</v>
      </c>
    </row>
    <row r="1366" spans="1:14" x14ac:dyDescent="0.35">
      <c r="A1366" s="1" t="s">
        <v>4321</v>
      </c>
      <c r="B1366" s="3" t="s">
        <v>2720</v>
      </c>
      <c r="C1366" s="1" t="s">
        <v>2745</v>
      </c>
      <c r="D1366" s="1" t="s">
        <v>7728</v>
      </c>
      <c r="E1366" s="1" t="str">
        <f>"2340"</f>
        <v>2340</v>
      </c>
      <c r="F1366" s="1" t="s">
        <v>2003</v>
      </c>
      <c r="G1366" s="1" t="s">
        <v>2004</v>
      </c>
      <c r="H1366" s="1" t="s">
        <v>15</v>
      </c>
      <c r="I1366" s="3" t="str">
        <f>"1"</f>
        <v>1</v>
      </c>
      <c r="J1366" s="3" t="str">
        <f>"16000"</f>
        <v>16000</v>
      </c>
      <c r="K1366" s="2">
        <v>45886</v>
      </c>
      <c r="L1366" s="2">
        <v>45899</v>
      </c>
      <c r="M1366" s="1" t="s">
        <v>7727</v>
      </c>
      <c r="N1366" s="1" t="s">
        <v>7726</v>
      </c>
    </row>
    <row r="1367" spans="1:14" x14ac:dyDescent="0.35">
      <c r="A1367" s="1" t="s">
        <v>4321</v>
      </c>
      <c r="B1367" s="3" t="s">
        <v>2720</v>
      </c>
      <c r="C1367" s="1" t="s">
        <v>2765</v>
      </c>
      <c r="D1367" s="1" t="s">
        <v>7725</v>
      </c>
      <c r="E1367" s="1" t="str">
        <f>"3805"</f>
        <v>3805</v>
      </c>
      <c r="F1367" s="1" t="s">
        <v>2913</v>
      </c>
      <c r="G1367" s="1" t="s">
        <v>2914</v>
      </c>
      <c r="H1367" s="1" t="s">
        <v>15</v>
      </c>
      <c r="I1367" s="3" t="str">
        <f>"1"</f>
        <v>1</v>
      </c>
      <c r="J1367" s="3" t="str">
        <f>"28000"</f>
        <v>28000</v>
      </c>
      <c r="K1367" s="2">
        <v>45886</v>
      </c>
      <c r="L1367" s="2">
        <v>45899</v>
      </c>
      <c r="M1367" s="1" t="s">
        <v>7724</v>
      </c>
      <c r="N1367" s="1" t="s">
        <v>4343</v>
      </c>
    </row>
    <row r="1368" spans="1:14" x14ac:dyDescent="0.35">
      <c r="A1368" s="1" t="s">
        <v>4321</v>
      </c>
      <c r="B1368" s="3" t="s">
        <v>2720</v>
      </c>
      <c r="C1368" s="1" t="s">
        <v>2765</v>
      </c>
      <c r="D1368" s="1" t="s">
        <v>7723</v>
      </c>
      <c r="E1368" s="1" t="str">
        <f>"3805"</f>
        <v>3805</v>
      </c>
      <c r="F1368" s="1" t="s">
        <v>2913</v>
      </c>
      <c r="G1368" s="1" t="s">
        <v>2914</v>
      </c>
      <c r="H1368" s="1" t="s">
        <v>15</v>
      </c>
      <c r="I1368" s="3" t="str">
        <f>"1"</f>
        <v>1</v>
      </c>
      <c r="J1368" s="3" t="str">
        <f>"32000"</f>
        <v>32000</v>
      </c>
      <c r="K1368" s="2">
        <v>45886</v>
      </c>
      <c r="L1368" s="2">
        <v>45899</v>
      </c>
      <c r="M1368" s="1" t="s">
        <v>7722</v>
      </c>
      <c r="N1368" s="1" t="s">
        <v>4343</v>
      </c>
    </row>
    <row r="1369" spans="1:14" x14ac:dyDescent="0.35">
      <c r="A1369" s="1" t="s">
        <v>4321</v>
      </c>
      <c r="B1369" s="3" t="s">
        <v>3183</v>
      </c>
      <c r="C1369" s="1" t="s">
        <v>3241</v>
      </c>
      <c r="D1369" s="1" t="s">
        <v>7721</v>
      </c>
      <c r="E1369" s="1" t="str">
        <f>"2330"</f>
        <v>2330</v>
      </c>
      <c r="F1369" s="1" t="str">
        <f>"016131206"</f>
        <v>016131206</v>
      </c>
      <c r="G1369" s="1" t="s">
        <v>2383</v>
      </c>
      <c r="H1369" s="1" t="s">
        <v>15</v>
      </c>
      <c r="I1369" s="3" t="str">
        <f>"1"</f>
        <v>1</v>
      </c>
      <c r="J1369" s="3" t="str">
        <f>"35000"</f>
        <v>35000</v>
      </c>
      <c r="K1369" s="2">
        <v>45886</v>
      </c>
      <c r="L1369" s="2">
        <v>45899</v>
      </c>
      <c r="M1369" s="1" t="s">
        <v>7720</v>
      </c>
      <c r="N1369" s="1" t="s">
        <v>7719</v>
      </c>
    </row>
    <row r="1370" spans="1:14" x14ac:dyDescent="0.35">
      <c r="A1370" s="1" t="s">
        <v>4321</v>
      </c>
      <c r="B1370" s="3" t="s">
        <v>3105</v>
      </c>
      <c r="C1370" s="1" t="s">
        <v>3141</v>
      </c>
      <c r="D1370" s="1" t="s">
        <v>7718</v>
      </c>
      <c r="E1370" s="1" t="str">
        <f>"5855"</f>
        <v>5855</v>
      </c>
      <c r="F1370" s="1" t="str">
        <f>"015777174"</f>
        <v>015777174</v>
      </c>
      <c r="G1370" s="1" t="s">
        <v>1931</v>
      </c>
      <c r="H1370" s="1" t="s">
        <v>15</v>
      </c>
      <c r="I1370" s="3" t="str">
        <f>"10"</f>
        <v>10</v>
      </c>
      <c r="J1370" s="3" t="str">
        <f>"1800"</f>
        <v>1800</v>
      </c>
      <c r="K1370" s="2">
        <v>45886</v>
      </c>
      <c r="L1370" s="2">
        <v>45899</v>
      </c>
      <c r="M1370" s="1" t="s">
        <v>3145</v>
      </c>
      <c r="N1370" s="1" t="s">
        <v>7717</v>
      </c>
    </row>
    <row r="1371" spans="1:14" x14ac:dyDescent="0.35">
      <c r="A1371" s="1" t="s">
        <v>4321</v>
      </c>
      <c r="B1371" s="3" t="s">
        <v>2987</v>
      </c>
      <c r="C1371" s="1" t="s">
        <v>3065</v>
      </c>
      <c r="D1371" s="1" t="s">
        <v>7716</v>
      </c>
      <c r="E1371" s="1" t="str">
        <f>"3805"</f>
        <v>3805</v>
      </c>
      <c r="F1371" s="1" t="s">
        <v>2913</v>
      </c>
      <c r="G1371" s="1" t="s">
        <v>2914</v>
      </c>
      <c r="H1371" s="1" t="s">
        <v>15</v>
      </c>
      <c r="I1371" s="3" t="str">
        <f>"1"</f>
        <v>1</v>
      </c>
      <c r="J1371" s="3" t="str">
        <f>"28000"</f>
        <v>28000</v>
      </c>
      <c r="K1371" s="2">
        <v>45886</v>
      </c>
      <c r="L1371" s="2">
        <v>45899</v>
      </c>
      <c r="M1371" s="1" t="s">
        <v>7098</v>
      </c>
      <c r="N1371" s="1" t="s">
        <v>7715</v>
      </c>
    </row>
    <row r="1372" spans="1:14" x14ac:dyDescent="0.35">
      <c r="A1372" s="1" t="s">
        <v>4321</v>
      </c>
      <c r="B1372" s="3" t="s">
        <v>2000</v>
      </c>
      <c r="C1372" s="1" t="s">
        <v>2001</v>
      </c>
      <c r="D1372" s="1" t="s">
        <v>7714</v>
      </c>
      <c r="E1372" s="1" t="str">
        <f>"2340"</f>
        <v>2340</v>
      </c>
      <c r="F1372" s="1" t="s">
        <v>2003</v>
      </c>
      <c r="G1372" s="1" t="s">
        <v>2004</v>
      </c>
      <c r="H1372" s="1" t="s">
        <v>15</v>
      </c>
      <c r="I1372" s="3" t="str">
        <f>"1"</f>
        <v>1</v>
      </c>
      <c r="J1372" s="3" t="str">
        <f>"16000"</f>
        <v>16000</v>
      </c>
      <c r="K1372" s="2">
        <v>45885</v>
      </c>
      <c r="L1372" s="2">
        <v>45899</v>
      </c>
      <c r="M1372" s="1" t="s">
        <v>2009</v>
      </c>
      <c r="N1372" s="1" t="s">
        <v>7713</v>
      </c>
    </row>
    <row r="1373" spans="1:14" x14ac:dyDescent="0.35">
      <c r="A1373" s="1" t="s">
        <v>4321</v>
      </c>
      <c r="B1373" s="3" t="s">
        <v>3183</v>
      </c>
      <c r="C1373" s="1" t="s">
        <v>3184</v>
      </c>
      <c r="D1373" s="1" t="s">
        <v>7712</v>
      </c>
      <c r="E1373" s="1" t="str">
        <f>"2320"</f>
        <v>2320</v>
      </c>
      <c r="F1373" s="1" t="s">
        <v>321</v>
      </c>
      <c r="G1373" s="1" t="s">
        <v>322</v>
      </c>
      <c r="H1373" s="1" t="s">
        <v>15</v>
      </c>
      <c r="I1373" s="3" t="str">
        <f>"1"</f>
        <v>1</v>
      </c>
      <c r="J1373" s="3" t="str">
        <f>"46158"</f>
        <v>46158</v>
      </c>
      <c r="K1373" s="2">
        <v>45885</v>
      </c>
      <c r="L1373" s="2">
        <v>45899</v>
      </c>
      <c r="M1373" s="1" t="s">
        <v>7711</v>
      </c>
      <c r="N1373" s="1" t="s">
        <v>7710</v>
      </c>
    </row>
    <row r="1374" spans="1:14" x14ac:dyDescent="0.35">
      <c r="A1374" s="1" t="s">
        <v>4321</v>
      </c>
      <c r="B1374" s="3" t="s">
        <v>93</v>
      </c>
      <c r="C1374" s="1" t="s">
        <v>4416</v>
      </c>
      <c r="D1374" s="1" t="s">
        <v>7709</v>
      </c>
      <c r="E1374" s="1" t="str">
        <f>"2330"</f>
        <v>2330</v>
      </c>
      <c r="F1374" s="1" t="str">
        <f>"016131206"</f>
        <v>016131206</v>
      </c>
      <c r="G1374" s="1" t="s">
        <v>2383</v>
      </c>
      <c r="H1374" s="1" t="s">
        <v>15</v>
      </c>
      <c r="I1374" s="3" t="str">
        <f>"1"</f>
        <v>1</v>
      </c>
      <c r="J1374" s="3" t="str">
        <f>"35000"</f>
        <v>35000</v>
      </c>
      <c r="K1374" s="2">
        <v>45885</v>
      </c>
      <c r="L1374" s="2">
        <v>45899</v>
      </c>
      <c r="M1374" s="1" t="s">
        <v>7706</v>
      </c>
      <c r="N1374" s="1" t="s">
        <v>7708</v>
      </c>
    </row>
    <row r="1375" spans="1:14" x14ac:dyDescent="0.35">
      <c r="A1375" s="1" t="s">
        <v>4321</v>
      </c>
      <c r="B1375" s="3" t="s">
        <v>93</v>
      </c>
      <c r="C1375" s="1" t="s">
        <v>4416</v>
      </c>
      <c r="D1375" s="1" t="s">
        <v>7707</v>
      </c>
      <c r="E1375" s="1" t="str">
        <f>"2330"</f>
        <v>2330</v>
      </c>
      <c r="F1375" s="1" t="s">
        <v>70</v>
      </c>
      <c r="G1375" s="1" t="s">
        <v>71</v>
      </c>
      <c r="H1375" s="1" t="s">
        <v>15</v>
      </c>
      <c r="I1375" s="3" t="str">
        <f>"1"</f>
        <v>1</v>
      </c>
      <c r="J1375" s="3" t="str">
        <f>"40000"</f>
        <v>40000</v>
      </c>
      <c r="K1375" s="2">
        <v>45885</v>
      </c>
      <c r="L1375" s="2">
        <v>45899</v>
      </c>
      <c r="M1375" s="1" t="s">
        <v>7706</v>
      </c>
      <c r="N1375" s="1" t="s">
        <v>7705</v>
      </c>
    </row>
    <row r="1376" spans="1:14" x14ac:dyDescent="0.35">
      <c r="A1376" s="1" t="s">
        <v>4321</v>
      </c>
      <c r="B1376" s="3" t="s">
        <v>93</v>
      </c>
      <c r="C1376" s="1" t="s">
        <v>312</v>
      </c>
      <c r="D1376" s="1" t="s">
        <v>7704</v>
      </c>
      <c r="E1376" s="1" t="str">
        <f>"3805"</f>
        <v>3805</v>
      </c>
      <c r="F1376" s="1" t="s">
        <v>2913</v>
      </c>
      <c r="G1376" s="1" t="s">
        <v>2914</v>
      </c>
      <c r="H1376" s="1" t="s">
        <v>15</v>
      </c>
      <c r="I1376" s="3" t="str">
        <f>"1"</f>
        <v>1</v>
      </c>
      <c r="J1376" s="3" t="str">
        <f>"28000"</f>
        <v>28000</v>
      </c>
      <c r="K1376" s="2">
        <v>45885</v>
      </c>
      <c r="L1376" s="2">
        <v>45899</v>
      </c>
      <c r="M1376" s="1" t="s">
        <v>7703</v>
      </c>
      <c r="N1376" s="1" t="s">
        <v>7702</v>
      </c>
    </row>
    <row r="1377" spans="1:14" x14ac:dyDescent="0.35">
      <c r="A1377" s="1" t="s">
        <v>4321</v>
      </c>
      <c r="B1377" s="3" t="s">
        <v>2720</v>
      </c>
      <c r="C1377" s="1" t="s">
        <v>2876</v>
      </c>
      <c r="D1377" s="1" t="s">
        <v>7701</v>
      </c>
      <c r="E1377" s="1" t="str">
        <f>"2340"</f>
        <v>2340</v>
      </c>
      <c r="F1377" s="1" t="s">
        <v>2003</v>
      </c>
      <c r="G1377" s="1" t="s">
        <v>2004</v>
      </c>
      <c r="H1377" s="1" t="s">
        <v>15</v>
      </c>
      <c r="I1377" s="3" t="str">
        <f>"1"</f>
        <v>1</v>
      </c>
      <c r="J1377" s="3" t="str">
        <f>"16000"</f>
        <v>16000</v>
      </c>
      <c r="K1377" s="2">
        <v>45885</v>
      </c>
      <c r="L1377" s="2">
        <v>45899</v>
      </c>
      <c r="M1377" s="1" t="s">
        <v>7698</v>
      </c>
      <c r="N1377" s="1" t="s">
        <v>7700</v>
      </c>
    </row>
    <row r="1378" spans="1:14" x14ac:dyDescent="0.35">
      <c r="A1378" s="1" t="s">
        <v>4321</v>
      </c>
      <c r="B1378" s="3" t="s">
        <v>2720</v>
      </c>
      <c r="C1378" s="1" t="s">
        <v>2876</v>
      </c>
      <c r="D1378" s="1" t="s">
        <v>7699</v>
      </c>
      <c r="E1378" s="1" t="str">
        <f>"2340"</f>
        <v>2340</v>
      </c>
      <c r="F1378" s="1" t="s">
        <v>2003</v>
      </c>
      <c r="G1378" s="1" t="s">
        <v>2004</v>
      </c>
      <c r="H1378" s="1" t="s">
        <v>15</v>
      </c>
      <c r="I1378" s="3" t="str">
        <f>"1"</f>
        <v>1</v>
      </c>
      <c r="J1378" s="3" t="str">
        <f>"15000"</f>
        <v>15000</v>
      </c>
      <c r="K1378" s="2">
        <v>45885</v>
      </c>
      <c r="L1378" s="2">
        <v>45899</v>
      </c>
      <c r="M1378" s="1" t="s">
        <v>7698</v>
      </c>
      <c r="N1378" s="1" t="s">
        <v>7697</v>
      </c>
    </row>
    <row r="1379" spans="1:14" x14ac:dyDescent="0.35">
      <c r="A1379" s="1" t="s">
        <v>4321</v>
      </c>
      <c r="B1379" s="3" t="s">
        <v>2720</v>
      </c>
      <c r="C1379" s="1" t="s">
        <v>2876</v>
      </c>
      <c r="D1379" s="1" t="s">
        <v>7696</v>
      </c>
      <c r="E1379" s="1" t="str">
        <f>"3805"</f>
        <v>3805</v>
      </c>
      <c r="F1379" s="1" t="s">
        <v>2913</v>
      </c>
      <c r="G1379" s="1" t="s">
        <v>2914</v>
      </c>
      <c r="H1379" s="1" t="s">
        <v>15</v>
      </c>
      <c r="I1379" s="3" t="str">
        <f>"1"</f>
        <v>1</v>
      </c>
      <c r="J1379" s="3" t="str">
        <f>"28000"</f>
        <v>28000</v>
      </c>
      <c r="K1379" s="2">
        <v>45885</v>
      </c>
      <c r="L1379" s="2">
        <v>45899</v>
      </c>
      <c r="M1379" s="1" t="s">
        <v>7695</v>
      </c>
      <c r="N1379" s="1" t="s">
        <v>7694</v>
      </c>
    </row>
    <row r="1380" spans="1:14" x14ac:dyDescent="0.35">
      <c r="A1380" s="1" t="s">
        <v>4321</v>
      </c>
      <c r="B1380" s="3" t="s">
        <v>3105</v>
      </c>
      <c r="C1380" s="1" t="s">
        <v>4877</v>
      </c>
      <c r="D1380" s="1" t="s">
        <v>7693</v>
      </c>
      <c r="E1380" s="1" t="str">
        <f>"2330"</f>
        <v>2330</v>
      </c>
      <c r="F1380" s="1" t="s">
        <v>70</v>
      </c>
      <c r="G1380" s="1" t="s">
        <v>71</v>
      </c>
      <c r="H1380" s="1" t="s">
        <v>15</v>
      </c>
      <c r="I1380" s="3" t="str">
        <f>"1"</f>
        <v>1</v>
      </c>
      <c r="J1380" s="3" t="str">
        <f>"40000"</f>
        <v>40000</v>
      </c>
      <c r="K1380" s="2">
        <v>45885</v>
      </c>
      <c r="L1380" s="2">
        <v>45899</v>
      </c>
      <c r="M1380" s="1" t="s">
        <v>5593</v>
      </c>
      <c r="N1380" s="1" t="s">
        <v>7692</v>
      </c>
    </row>
    <row r="1381" spans="1:14" x14ac:dyDescent="0.35">
      <c r="A1381" s="1" t="s">
        <v>4321</v>
      </c>
      <c r="B1381" s="3" t="s">
        <v>2248</v>
      </c>
      <c r="C1381" s="1" t="s">
        <v>2357</v>
      </c>
      <c r="D1381" s="1" t="s">
        <v>7691</v>
      </c>
      <c r="E1381" s="1" t="str">
        <f>"5855"</f>
        <v>5855</v>
      </c>
      <c r="F1381" s="1" t="str">
        <f>"014502333"</f>
        <v>014502333</v>
      </c>
      <c r="G1381" s="1" t="s">
        <v>1947</v>
      </c>
      <c r="H1381" s="1" t="s">
        <v>15</v>
      </c>
      <c r="I1381" s="3" t="str">
        <f>"7"</f>
        <v>7</v>
      </c>
      <c r="J1381" s="3">
        <v>10398.299999999999</v>
      </c>
      <c r="K1381" s="2">
        <v>45885</v>
      </c>
      <c r="L1381" s="2">
        <v>45899</v>
      </c>
      <c r="M1381" s="1" t="s">
        <v>2365</v>
      </c>
      <c r="N1381" s="1" t="s">
        <v>7690</v>
      </c>
    </row>
    <row r="1382" spans="1:14" x14ac:dyDescent="0.35">
      <c r="A1382" s="1" t="s">
        <v>4321</v>
      </c>
      <c r="B1382" s="3" t="s">
        <v>3183</v>
      </c>
      <c r="C1382" s="1" t="s">
        <v>3435</v>
      </c>
      <c r="D1382" s="1" t="s">
        <v>7689</v>
      </c>
      <c r="E1382" s="1" t="str">
        <f>"2330"</f>
        <v>2330</v>
      </c>
      <c r="F1382" s="1" t="s">
        <v>70</v>
      </c>
      <c r="G1382" s="1" t="s">
        <v>71</v>
      </c>
      <c r="H1382" s="1" t="s">
        <v>15</v>
      </c>
      <c r="I1382" s="3" t="str">
        <f>"1"</f>
        <v>1</v>
      </c>
      <c r="J1382" s="3" t="str">
        <f>"25000"</f>
        <v>25000</v>
      </c>
      <c r="K1382" s="2">
        <v>45885</v>
      </c>
      <c r="L1382" s="2">
        <v>45899</v>
      </c>
      <c r="M1382" s="1" t="s">
        <v>7688</v>
      </c>
      <c r="N1382" s="1" t="s">
        <v>7687</v>
      </c>
    </row>
    <row r="1383" spans="1:14" x14ac:dyDescent="0.35">
      <c r="A1383" s="1" t="s">
        <v>4321</v>
      </c>
      <c r="B1383" s="3" t="s">
        <v>3183</v>
      </c>
      <c r="C1383" s="1" t="s">
        <v>3435</v>
      </c>
      <c r="D1383" s="1" t="s">
        <v>7686</v>
      </c>
      <c r="E1383" s="1" t="str">
        <f>"2330"</f>
        <v>2330</v>
      </c>
      <c r="F1383" s="1" t="str">
        <f>"015877978"</f>
        <v>015877978</v>
      </c>
      <c r="G1383" s="1" t="s">
        <v>465</v>
      </c>
      <c r="H1383" s="1" t="s">
        <v>15</v>
      </c>
      <c r="I1383" s="3" t="str">
        <f>"1"</f>
        <v>1</v>
      </c>
      <c r="J1383" s="3">
        <v>23819.96</v>
      </c>
      <c r="K1383" s="2">
        <v>45885</v>
      </c>
      <c r="L1383" s="2">
        <v>45899</v>
      </c>
      <c r="M1383" s="1" t="s">
        <v>7685</v>
      </c>
      <c r="N1383" s="1" t="s">
        <v>7684</v>
      </c>
    </row>
    <row r="1384" spans="1:14" x14ac:dyDescent="0.35">
      <c r="A1384" s="1" t="s">
        <v>4321</v>
      </c>
      <c r="B1384" s="3" t="s">
        <v>3183</v>
      </c>
      <c r="C1384" s="1" t="s">
        <v>3435</v>
      </c>
      <c r="D1384" s="1" t="s">
        <v>7683</v>
      </c>
      <c r="E1384" s="1" t="str">
        <f>"2310"</f>
        <v>2310</v>
      </c>
      <c r="F1384" s="1" t="s">
        <v>2377</v>
      </c>
      <c r="G1384" s="1" t="s">
        <v>2378</v>
      </c>
      <c r="H1384" s="1" t="s">
        <v>15</v>
      </c>
      <c r="I1384" s="3" t="str">
        <f>"1"</f>
        <v>1</v>
      </c>
      <c r="J1384" s="3" t="str">
        <f>"37900"</f>
        <v>37900</v>
      </c>
      <c r="K1384" s="2">
        <v>45885</v>
      </c>
      <c r="L1384" s="2">
        <v>45899</v>
      </c>
      <c r="M1384" s="1" t="s">
        <v>7682</v>
      </c>
      <c r="N1384" s="1" t="s">
        <v>7681</v>
      </c>
    </row>
    <row r="1385" spans="1:14" x14ac:dyDescent="0.35">
      <c r="A1385" s="1" t="s">
        <v>4321</v>
      </c>
      <c r="B1385" s="3" t="s">
        <v>3183</v>
      </c>
      <c r="C1385" s="1" t="s">
        <v>3487</v>
      </c>
      <c r="D1385" s="1" t="s">
        <v>7680</v>
      </c>
      <c r="E1385" s="1" t="str">
        <f>"2310"</f>
        <v>2310</v>
      </c>
      <c r="F1385" s="1" t="str">
        <f>"016544105"</f>
        <v>016544105</v>
      </c>
      <c r="G1385" s="1" t="s">
        <v>3156</v>
      </c>
      <c r="H1385" s="1" t="s">
        <v>15</v>
      </c>
      <c r="I1385" s="3" t="str">
        <f>"1"</f>
        <v>1</v>
      </c>
      <c r="J1385" s="3">
        <v>31905.14</v>
      </c>
      <c r="K1385" s="2">
        <v>45885</v>
      </c>
      <c r="L1385" s="2">
        <v>45899</v>
      </c>
      <c r="M1385" s="1" t="s">
        <v>7679</v>
      </c>
      <c r="N1385" s="1" t="s">
        <v>7678</v>
      </c>
    </row>
    <row r="1386" spans="1:14" x14ac:dyDescent="0.35">
      <c r="A1386" s="1" t="s">
        <v>4321</v>
      </c>
      <c r="B1386" s="3" t="s">
        <v>2248</v>
      </c>
      <c r="C1386" s="1" t="s">
        <v>7603</v>
      </c>
      <c r="D1386" s="1" t="s">
        <v>7677</v>
      </c>
      <c r="E1386" s="1" t="str">
        <f>"1550"</f>
        <v>1550</v>
      </c>
      <c r="F1386" s="1" t="str">
        <f>"015872765"</f>
        <v>015872765</v>
      </c>
      <c r="G1386" s="1" t="s">
        <v>2416</v>
      </c>
      <c r="H1386" s="1" t="s">
        <v>15</v>
      </c>
      <c r="I1386" s="3" t="str">
        <f>"1"</f>
        <v>1</v>
      </c>
      <c r="J1386" s="3" t="str">
        <f>"100000"</f>
        <v>100000</v>
      </c>
      <c r="K1386" s="2">
        <v>45897</v>
      </c>
      <c r="L1386" s="2">
        <v>45898</v>
      </c>
      <c r="M1386" s="1" t="s">
        <v>7676</v>
      </c>
      <c r="N1386" s="1" t="s">
        <v>4343</v>
      </c>
    </row>
    <row r="1387" spans="1:14" x14ac:dyDescent="0.35">
      <c r="A1387" s="1" t="s">
        <v>4321</v>
      </c>
      <c r="B1387" s="3" t="s">
        <v>2720</v>
      </c>
      <c r="C1387" s="1" t="s">
        <v>2897</v>
      </c>
      <c r="D1387" s="1" t="s">
        <v>7675</v>
      </c>
      <c r="E1387" s="1" t="str">
        <f>"1550"</f>
        <v>1550</v>
      </c>
      <c r="F1387" s="1" t="str">
        <f>"016215533"</f>
        <v>016215533</v>
      </c>
      <c r="G1387" s="1" t="s">
        <v>2334</v>
      </c>
      <c r="H1387" s="1" t="s">
        <v>15</v>
      </c>
      <c r="I1387" s="3" t="str">
        <f>"1"</f>
        <v>1</v>
      </c>
      <c r="J1387" s="3" t="str">
        <f>"168000"</f>
        <v>168000</v>
      </c>
      <c r="K1387" s="2">
        <v>45896</v>
      </c>
      <c r="L1387" s="2">
        <v>45898</v>
      </c>
      <c r="M1387" s="1" t="s">
        <v>7674</v>
      </c>
      <c r="N1387" s="1" t="s">
        <v>4343</v>
      </c>
    </row>
    <row r="1388" spans="1:14" x14ac:dyDescent="0.35">
      <c r="A1388" s="1" t="s">
        <v>4321</v>
      </c>
      <c r="B1388" s="3" t="s">
        <v>3105</v>
      </c>
      <c r="C1388" s="1" t="s">
        <v>3154</v>
      </c>
      <c r="D1388" s="1" t="s">
        <v>7673</v>
      </c>
      <c r="E1388" s="1" t="str">
        <f>"4240"</f>
        <v>4240</v>
      </c>
      <c r="F1388" s="1" t="str">
        <f>"015439618"</f>
        <v>015439618</v>
      </c>
      <c r="G1388" s="1" t="s">
        <v>256</v>
      </c>
      <c r="H1388" s="1" t="s">
        <v>15</v>
      </c>
      <c r="I1388" s="3" t="str">
        <f>"31"</f>
        <v>31</v>
      </c>
      <c r="J1388" s="3">
        <v>28.63</v>
      </c>
      <c r="K1388" s="2">
        <v>45895</v>
      </c>
      <c r="L1388" s="2">
        <v>45898</v>
      </c>
      <c r="M1388" s="1" t="s">
        <v>7672</v>
      </c>
      <c r="N1388" s="1" t="s">
        <v>7671</v>
      </c>
    </row>
    <row r="1389" spans="1:14" x14ac:dyDescent="0.35">
      <c r="A1389" s="1" t="s">
        <v>4321</v>
      </c>
      <c r="B1389" s="3" t="s">
        <v>2000</v>
      </c>
      <c r="C1389" s="1" t="s">
        <v>2078</v>
      </c>
      <c r="D1389" s="1" t="s">
        <v>7670</v>
      </c>
      <c r="E1389" s="1" t="str">
        <f>"1550"</f>
        <v>1550</v>
      </c>
      <c r="F1389" s="1" t="str">
        <f>"015872765"</f>
        <v>015872765</v>
      </c>
      <c r="G1389" s="1" t="s">
        <v>2416</v>
      </c>
      <c r="H1389" s="1" t="s">
        <v>15</v>
      </c>
      <c r="I1389" s="3" t="str">
        <f>"1"</f>
        <v>1</v>
      </c>
      <c r="J1389" s="3" t="str">
        <f>"100000"</f>
        <v>100000</v>
      </c>
      <c r="K1389" s="2">
        <v>45894</v>
      </c>
      <c r="L1389" s="2">
        <v>45898</v>
      </c>
      <c r="M1389" s="1" t="s">
        <v>7669</v>
      </c>
      <c r="N1389" s="1" t="s">
        <v>4343</v>
      </c>
    </row>
    <row r="1390" spans="1:14" x14ac:dyDescent="0.35">
      <c r="A1390" s="1" t="s">
        <v>4321</v>
      </c>
      <c r="B1390" s="3" t="s">
        <v>1317</v>
      </c>
      <c r="C1390" s="1" t="s">
        <v>1381</v>
      </c>
      <c r="D1390" s="1" t="s">
        <v>7668</v>
      </c>
      <c r="E1390" s="1" t="str">
        <f>"7125"</f>
        <v>7125</v>
      </c>
      <c r="F1390" s="1" t="s">
        <v>7667</v>
      </c>
      <c r="G1390" s="1" t="s">
        <v>7666</v>
      </c>
      <c r="H1390" s="1" t="s">
        <v>15</v>
      </c>
      <c r="I1390" s="3" t="str">
        <f>"2"</f>
        <v>2</v>
      </c>
      <c r="J1390" s="3" t="str">
        <f>"500"</f>
        <v>500</v>
      </c>
      <c r="K1390" s="2">
        <v>45887</v>
      </c>
      <c r="L1390" s="2">
        <v>45898</v>
      </c>
      <c r="M1390" s="1" t="s">
        <v>7665</v>
      </c>
      <c r="N1390" s="1" t="s">
        <v>7664</v>
      </c>
    </row>
    <row r="1391" spans="1:14" x14ac:dyDescent="0.35">
      <c r="A1391" s="1" t="s">
        <v>4321</v>
      </c>
      <c r="B1391" s="3" t="s">
        <v>1317</v>
      </c>
      <c r="C1391" s="1" t="s">
        <v>1381</v>
      </c>
      <c r="D1391" s="1" t="s">
        <v>7663</v>
      </c>
      <c r="E1391" s="1" t="str">
        <f>"6115"</f>
        <v>6115</v>
      </c>
      <c r="F1391" s="1" t="s">
        <v>174</v>
      </c>
      <c r="G1391" s="1" t="s">
        <v>175</v>
      </c>
      <c r="H1391" s="1" t="s">
        <v>15</v>
      </c>
      <c r="I1391" s="3" t="str">
        <f>"1"</f>
        <v>1</v>
      </c>
      <c r="J1391" s="3">
        <v>4999.95</v>
      </c>
      <c r="K1391" s="2">
        <v>45887</v>
      </c>
      <c r="L1391" s="2">
        <v>45898</v>
      </c>
      <c r="M1391" s="1" t="s">
        <v>1393</v>
      </c>
      <c r="N1391" s="1" t="s">
        <v>7662</v>
      </c>
    </row>
    <row r="1392" spans="1:14" x14ac:dyDescent="0.35">
      <c r="A1392" s="1" t="s">
        <v>4321</v>
      </c>
      <c r="B1392" s="3" t="s">
        <v>3513</v>
      </c>
      <c r="C1392" s="1" t="s">
        <v>3651</v>
      </c>
      <c r="D1392" s="1" t="s">
        <v>7661</v>
      </c>
      <c r="E1392" s="1" t="str">
        <f>"6920"</f>
        <v>6920</v>
      </c>
      <c r="F1392" s="1" t="s">
        <v>2759</v>
      </c>
      <c r="G1392" s="1" t="s">
        <v>2760</v>
      </c>
      <c r="H1392" s="1" t="s">
        <v>15</v>
      </c>
      <c r="I1392" s="3" t="str">
        <f>"25"</f>
        <v>25</v>
      </c>
      <c r="J1392" s="3" t="str">
        <f>"50"</f>
        <v>50</v>
      </c>
      <c r="K1392" s="2">
        <v>45869</v>
      </c>
      <c r="L1392" s="2">
        <v>45898</v>
      </c>
      <c r="M1392" s="1" t="s">
        <v>7660</v>
      </c>
      <c r="N1392" s="1" t="s">
        <v>7659</v>
      </c>
    </row>
    <row r="1393" spans="1:14" x14ac:dyDescent="0.35">
      <c r="A1393" s="1" t="s">
        <v>4321</v>
      </c>
      <c r="B1393" s="3" t="s">
        <v>2456</v>
      </c>
      <c r="C1393" s="1" t="s">
        <v>2457</v>
      </c>
      <c r="D1393" s="1" t="s">
        <v>7658</v>
      </c>
      <c r="E1393" s="1" t="str">
        <f>"6920"</f>
        <v>6920</v>
      </c>
      <c r="F1393" s="1" t="s">
        <v>2759</v>
      </c>
      <c r="G1393" s="1" t="s">
        <v>2760</v>
      </c>
      <c r="H1393" s="1" t="s">
        <v>15</v>
      </c>
      <c r="I1393" s="3" t="str">
        <f>"7"</f>
        <v>7</v>
      </c>
      <c r="J1393" s="3" t="str">
        <f>"50"</f>
        <v>50</v>
      </c>
      <c r="K1393" s="2">
        <v>45868</v>
      </c>
      <c r="L1393" s="2">
        <v>45898</v>
      </c>
      <c r="M1393" s="1" t="s">
        <v>7657</v>
      </c>
      <c r="N1393" s="1" t="s">
        <v>7656</v>
      </c>
    </row>
    <row r="1394" spans="1:14" x14ac:dyDescent="0.35">
      <c r="A1394" s="1" t="s">
        <v>4321</v>
      </c>
      <c r="B1394" s="3" t="s">
        <v>2456</v>
      </c>
      <c r="C1394" s="1" t="s">
        <v>2457</v>
      </c>
      <c r="D1394" s="1" t="s">
        <v>7655</v>
      </c>
      <c r="E1394" s="1" t="str">
        <f>"8415"</f>
        <v>8415</v>
      </c>
      <c r="F1394" s="1" t="str">
        <f>"015386312"</f>
        <v>015386312</v>
      </c>
      <c r="G1394" s="1" t="s">
        <v>973</v>
      </c>
      <c r="H1394" s="1" t="s">
        <v>15</v>
      </c>
      <c r="I1394" s="3" t="str">
        <f>"3"</f>
        <v>3</v>
      </c>
      <c r="J1394" s="3">
        <v>143.46</v>
      </c>
      <c r="K1394" s="2">
        <v>45868</v>
      </c>
      <c r="L1394" s="2">
        <v>45898</v>
      </c>
      <c r="M1394" s="1" t="s">
        <v>7654</v>
      </c>
      <c r="N1394" s="1" t="s">
        <v>7653</v>
      </c>
    </row>
    <row r="1395" spans="1:14" x14ac:dyDescent="0.35">
      <c r="A1395" s="1" t="s">
        <v>4321</v>
      </c>
      <c r="B1395" s="3" t="s">
        <v>2145</v>
      </c>
      <c r="C1395" s="1" t="s">
        <v>7652</v>
      </c>
      <c r="D1395" s="1" t="s">
        <v>7651</v>
      </c>
      <c r="E1395" s="1" t="str">
        <f>"8465"</f>
        <v>8465</v>
      </c>
      <c r="F1395" s="1" t="str">
        <f>"015800981"</f>
        <v>015800981</v>
      </c>
      <c r="G1395" s="1" t="s">
        <v>921</v>
      </c>
      <c r="H1395" s="1" t="s">
        <v>15</v>
      </c>
      <c r="I1395" s="3" t="str">
        <f>"42"</f>
        <v>42</v>
      </c>
      <c r="J1395" s="3">
        <v>78.14</v>
      </c>
      <c r="K1395" s="2">
        <v>45866</v>
      </c>
      <c r="L1395" s="2">
        <v>45898</v>
      </c>
      <c r="M1395" s="1" t="s">
        <v>7650</v>
      </c>
      <c r="N1395" s="1" t="s">
        <v>7649</v>
      </c>
    </row>
    <row r="1396" spans="1:14" x14ac:dyDescent="0.35">
      <c r="A1396" s="1" t="s">
        <v>4321</v>
      </c>
      <c r="B1396" s="3" t="s">
        <v>93</v>
      </c>
      <c r="C1396" s="1" t="s">
        <v>203</v>
      </c>
      <c r="D1396" s="1" t="s">
        <v>7648</v>
      </c>
      <c r="E1396" s="1" t="str">
        <f>"8415"</f>
        <v>8415</v>
      </c>
      <c r="F1396" s="1" t="str">
        <f>"015801355"</f>
        <v>015801355</v>
      </c>
      <c r="G1396" s="1" t="s">
        <v>839</v>
      </c>
      <c r="H1396" s="1" t="s">
        <v>15</v>
      </c>
      <c r="I1396" s="3" t="str">
        <f>"8"</f>
        <v>8</v>
      </c>
      <c r="J1396" s="3">
        <v>81.66</v>
      </c>
      <c r="K1396" s="2">
        <v>45866</v>
      </c>
      <c r="L1396" s="2">
        <v>45898</v>
      </c>
      <c r="M1396" s="1" t="s">
        <v>7647</v>
      </c>
      <c r="N1396" s="1" t="s">
        <v>7646</v>
      </c>
    </row>
    <row r="1397" spans="1:14" x14ac:dyDescent="0.35">
      <c r="A1397" s="1" t="s">
        <v>4321</v>
      </c>
      <c r="B1397" s="3" t="s">
        <v>93</v>
      </c>
      <c r="C1397" s="1" t="s">
        <v>203</v>
      </c>
      <c r="D1397" s="1" t="s">
        <v>7645</v>
      </c>
      <c r="E1397" s="1" t="str">
        <f>"8465"</f>
        <v>8465</v>
      </c>
      <c r="F1397" s="1" t="str">
        <f>"015851512"</f>
        <v>015851512</v>
      </c>
      <c r="G1397" s="1" t="s">
        <v>57</v>
      </c>
      <c r="H1397" s="1" t="s">
        <v>58</v>
      </c>
      <c r="I1397" s="3" t="str">
        <f>"25"</f>
        <v>25</v>
      </c>
      <c r="J1397" s="3">
        <v>120.52</v>
      </c>
      <c r="K1397" s="2">
        <v>45866</v>
      </c>
      <c r="L1397" s="2">
        <v>45898</v>
      </c>
      <c r="M1397" s="1" t="s">
        <v>7644</v>
      </c>
      <c r="N1397" s="1" t="s">
        <v>7643</v>
      </c>
    </row>
    <row r="1398" spans="1:14" x14ac:dyDescent="0.35">
      <c r="A1398" s="1" t="s">
        <v>4321</v>
      </c>
      <c r="B1398" s="3" t="s">
        <v>1699</v>
      </c>
      <c r="C1398" s="1" t="s">
        <v>1818</v>
      </c>
      <c r="D1398" s="1" t="s">
        <v>7642</v>
      </c>
      <c r="E1398" s="1" t="str">
        <f>"6115"</f>
        <v>6115</v>
      </c>
      <c r="F1398" s="1" t="str">
        <f>"012961463"</f>
        <v>012961463</v>
      </c>
      <c r="G1398" s="1" t="s">
        <v>435</v>
      </c>
      <c r="H1398" s="1" t="s">
        <v>15</v>
      </c>
      <c r="I1398" s="3" t="str">
        <f>"2"</f>
        <v>2</v>
      </c>
      <c r="J1398" s="3" t="str">
        <f>"67000"</f>
        <v>67000</v>
      </c>
      <c r="K1398" s="2">
        <v>45864</v>
      </c>
      <c r="L1398" s="2">
        <v>45898</v>
      </c>
      <c r="M1398" s="1" t="s">
        <v>7641</v>
      </c>
      <c r="N1398" s="1" t="s">
        <v>7640</v>
      </c>
    </row>
    <row r="1399" spans="1:14" x14ac:dyDescent="0.35">
      <c r="A1399" s="1" t="s">
        <v>4321</v>
      </c>
      <c r="B1399" s="3" t="s">
        <v>1699</v>
      </c>
      <c r="C1399" s="1" t="s">
        <v>6146</v>
      </c>
      <c r="D1399" s="1" t="s">
        <v>7639</v>
      </c>
      <c r="E1399" s="1" t="str">
        <f>"1080"</f>
        <v>1080</v>
      </c>
      <c r="F1399" s="1" t="str">
        <f>"015486924"</f>
        <v>015486924</v>
      </c>
      <c r="G1399" s="1" t="s">
        <v>7638</v>
      </c>
      <c r="H1399" s="1" t="s">
        <v>15</v>
      </c>
      <c r="I1399" s="3" t="str">
        <f>"5"</f>
        <v>5</v>
      </c>
      <c r="J1399" s="3">
        <v>323.24</v>
      </c>
      <c r="K1399" s="2">
        <v>45859</v>
      </c>
      <c r="L1399" s="2">
        <v>45898</v>
      </c>
      <c r="M1399" s="1" t="s">
        <v>7637</v>
      </c>
      <c r="N1399" s="1" t="s">
        <v>7636</v>
      </c>
    </row>
    <row r="1400" spans="1:14" x14ac:dyDescent="0.35">
      <c r="A1400" s="1" t="s">
        <v>4321</v>
      </c>
      <c r="B1400" s="3" t="s">
        <v>93</v>
      </c>
      <c r="C1400" s="1" t="s">
        <v>109</v>
      </c>
      <c r="D1400" s="1" t="s">
        <v>7635</v>
      </c>
      <c r="E1400" s="1" t="str">
        <f>"2320"</f>
        <v>2320</v>
      </c>
      <c r="F1400" s="1" t="str">
        <f>"011644815"</f>
        <v>011644815</v>
      </c>
      <c r="G1400" s="1" t="s">
        <v>373</v>
      </c>
      <c r="H1400" s="1" t="s">
        <v>15</v>
      </c>
      <c r="I1400" s="3" t="str">
        <f>"1"</f>
        <v>1</v>
      </c>
      <c r="J1400" s="3" t="str">
        <f>"5000"</f>
        <v>5000</v>
      </c>
      <c r="K1400" s="2">
        <v>45850</v>
      </c>
      <c r="L1400" s="2">
        <v>45898</v>
      </c>
      <c r="M1400" s="1" t="s">
        <v>7634</v>
      </c>
      <c r="N1400" s="1" t="s">
        <v>7633</v>
      </c>
    </row>
    <row r="1401" spans="1:14" x14ac:dyDescent="0.35">
      <c r="A1401" s="1" t="s">
        <v>4321</v>
      </c>
      <c r="B1401" s="3" t="s">
        <v>3183</v>
      </c>
      <c r="C1401" s="1" t="s">
        <v>3364</v>
      </c>
      <c r="D1401" s="1" t="s">
        <v>7632</v>
      </c>
      <c r="E1401" s="1" t="str">
        <f>"6230"</f>
        <v>6230</v>
      </c>
      <c r="F1401" s="1" t="str">
        <f>"015894822"</f>
        <v>015894822</v>
      </c>
      <c r="G1401" s="1" t="s">
        <v>310</v>
      </c>
      <c r="H1401" s="1" t="s">
        <v>15</v>
      </c>
      <c r="I1401" s="3" t="str">
        <f>"40"</f>
        <v>40</v>
      </c>
      <c r="J1401" s="3">
        <v>889.39</v>
      </c>
      <c r="K1401" s="2">
        <v>45846</v>
      </c>
      <c r="L1401" s="2">
        <v>45898</v>
      </c>
      <c r="M1401" s="1" t="s">
        <v>7631</v>
      </c>
      <c r="N1401" s="1" t="s">
        <v>7630</v>
      </c>
    </row>
    <row r="1402" spans="1:14" x14ac:dyDescent="0.35">
      <c r="A1402" s="1" t="s">
        <v>4321</v>
      </c>
      <c r="B1402" s="3" t="s">
        <v>1699</v>
      </c>
      <c r="C1402" s="1" t="s">
        <v>1700</v>
      </c>
      <c r="D1402" s="1" t="s">
        <v>7629</v>
      </c>
      <c r="E1402" s="1" t="str">
        <f>"3930"</f>
        <v>3930</v>
      </c>
      <c r="F1402" s="1" t="s">
        <v>1706</v>
      </c>
      <c r="G1402" s="1" t="s">
        <v>1707</v>
      </c>
      <c r="H1402" s="1" t="s">
        <v>15</v>
      </c>
      <c r="I1402" s="3" t="str">
        <f>"1"</f>
        <v>1</v>
      </c>
      <c r="J1402" s="3" t="str">
        <f>"80000"</f>
        <v>80000</v>
      </c>
      <c r="K1402" s="2">
        <v>45820</v>
      </c>
      <c r="L1402" s="2">
        <v>45898</v>
      </c>
      <c r="M1402" s="1" t="s">
        <v>7628</v>
      </c>
      <c r="N1402" s="1" t="s">
        <v>7627</v>
      </c>
    </row>
    <row r="1403" spans="1:14" x14ac:dyDescent="0.35">
      <c r="A1403" s="1" t="s">
        <v>4321</v>
      </c>
      <c r="B1403" s="3" t="s">
        <v>2720</v>
      </c>
      <c r="C1403" s="1" t="s">
        <v>2897</v>
      </c>
      <c r="D1403" s="1" t="s">
        <v>7626</v>
      </c>
      <c r="E1403" s="1" t="str">
        <f>"1550"</f>
        <v>1550</v>
      </c>
      <c r="F1403" s="1" t="str">
        <f>"016215533"</f>
        <v>016215533</v>
      </c>
      <c r="G1403" s="1" t="s">
        <v>2334</v>
      </c>
      <c r="H1403" s="1" t="s">
        <v>15</v>
      </c>
      <c r="I1403" s="3" t="str">
        <f>"1"</f>
        <v>1</v>
      </c>
      <c r="J1403" s="3" t="str">
        <f>"168000"</f>
        <v>168000</v>
      </c>
      <c r="K1403" s="2">
        <v>45896</v>
      </c>
      <c r="L1403" s="2">
        <v>45897</v>
      </c>
      <c r="M1403" s="1" t="s">
        <v>2901</v>
      </c>
      <c r="N1403" s="1" t="s">
        <v>4343</v>
      </c>
    </row>
    <row r="1404" spans="1:14" x14ac:dyDescent="0.35">
      <c r="A1404" s="1" t="s">
        <v>4321</v>
      </c>
      <c r="B1404" s="3" t="s">
        <v>4087</v>
      </c>
      <c r="C1404" s="1" t="s">
        <v>4143</v>
      </c>
      <c r="D1404" s="1" t="s">
        <v>7625</v>
      </c>
      <c r="E1404" s="1" t="str">
        <f>"7520"</f>
        <v>7520</v>
      </c>
      <c r="F1404" s="1" t="str">
        <f>"009731059"</f>
        <v>009731059</v>
      </c>
      <c r="G1404" s="1" t="s">
        <v>4182</v>
      </c>
      <c r="H1404" s="1" t="s">
        <v>4183</v>
      </c>
      <c r="I1404" s="3" t="str">
        <f>"1"</f>
        <v>1</v>
      </c>
      <c r="J1404" s="3">
        <v>9.8699999999999992</v>
      </c>
      <c r="K1404" s="2">
        <v>45895</v>
      </c>
      <c r="L1404" s="2">
        <v>45897</v>
      </c>
      <c r="M1404" s="1" t="s">
        <v>7565</v>
      </c>
      <c r="N1404" s="1" t="s">
        <v>7624</v>
      </c>
    </row>
    <row r="1405" spans="1:14" x14ac:dyDescent="0.35">
      <c r="A1405" s="1" t="s">
        <v>4321</v>
      </c>
      <c r="B1405" s="3" t="s">
        <v>1848</v>
      </c>
      <c r="C1405" s="1" t="s">
        <v>1849</v>
      </c>
      <c r="D1405" s="1" t="s">
        <v>7623</v>
      </c>
      <c r="E1405" s="1" t="str">
        <f>"4310"</f>
        <v>4310</v>
      </c>
      <c r="F1405" s="1" t="s">
        <v>124</v>
      </c>
      <c r="G1405" s="1" t="s">
        <v>125</v>
      </c>
      <c r="H1405" s="1" t="s">
        <v>15</v>
      </c>
      <c r="I1405" s="3" t="str">
        <f>"1"</f>
        <v>1</v>
      </c>
      <c r="J1405" s="3" t="str">
        <f>"750"</f>
        <v>750</v>
      </c>
      <c r="K1405" s="2">
        <v>45894</v>
      </c>
      <c r="L1405" s="2">
        <v>45897</v>
      </c>
      <c r="M1405" s="1" t="s">
        <v>7622</v>
      </c>
      <c r="N1405" s="1" t="s">
        <v>4343</v>
      </c>
    </row>
    <row r="1406" spans="1:14" x14ac:dyDescent="0.35">
      <c r="A1406" s="1" t="s">
        <v>4321</v>
      </c>
      <c r="B1406" s="3" t="s">
        <v>3183</v>
      </c>
      <c r="C1406" s="1" t="s">
        <v>3364</v>
      </c>
      <c r="D1406" s="1" t="s">
        <v>7621</v>
      </c>
      <c r="E1406" s="1" t="str">
        <f>"5965"</f>
        <v>5965</v>
      </c>
      <c r="F1406" s="1" t="str">
        <f>"226296584"</f>
        <v>226296584</v>
      </c>
      <c r="G1406" s="1" t="s">
        <v>1389</v>
      </c>
      <c r="H1406" s="1" t="s">
        <v>15</v>
      </c>
      <c r="I1406" s="3" t="str">
        <f>"5"</f>
        <v>5</v>
      </c>
      <c r="J1406" s="3">
        <v>1567.84</v>
      </c>
      <c r="K1406" s="2">
        <v>45894</v>
      </c>
      <c r="L1406" s="2">
        <v>45897</v>
      </c>
      <c r="M1406" s="1" t="s">
        <v>7620</v>
      </c>
      <c r="N1406" s="1" t="s">
        <v>7619</v>
      </c>
    </row>
    <row r="1407" spans="1:14" x14ac:dyDescent="0.35">
      <c r="A1407" s="1" t="s">
        <v>4321</v>
      </c>
      <c r="B1407" s="3" t="s">
        <v>806</v>
      </c>
      <c r="C1407" s="1" t="s">
        <v>870</v>
      </c>
      <c r="D1407" s="1" t="s">
        <v>7618</v>
      </c>
      <c r="E1407" s="1" t="str">
        <f>"6230"</f>
        <v>6230</v>
      </c>
      <c r="F1407" s="1" t="str">
        <f>"015912511"</f>
        <v>015912511</v>
      </c>
      <c r="G1407" s="1" t="s">
        <v>538</v>
      </c>
      <c r="H1407" s="1" t="s">
        <v>15</v>
      </c>
      <c r="I1407" s="3" t="str">
        <f>"42"</f>
        <v>42</v>
      </c>
      <c r="J1407" s="3">
        <v>484.22</v>
      </c>
      <c r="K1407" s="2">
        <v>45894</v>
      </c>
      <c r="L1407" s="2">
        <v>45897</v>
      </c>
      <c r="M1407" s="1" t="s">
        <v>7617</v>
      </c>
      <c r="N1407" s="1" t="s">
        <v>7616</v>
      </c>
    </row>
    <row r="1408" spans="1:14" x14ac:dyDescent="0.35">
      <c r="A1408" s="1" t="s">
        <v>4321</v>
      </c>
      <c r="B1408" s="3" t="s">
        <v>1407</v>
      </c>
      <c r="C1408" s="1" t="s">
        <v>1420</v>
      </c>
      <c r="D1408" s="1" t="s">
        <v>7615</v>
      </c>
      <c r="E1408" s="1" t="str">
        <f>"8430"</f>
        <v>8430</v>
      </c>
      <c r="F1408" s="1" t="str">
        <f>"015936086"</f>
        <v>015936086</v>
      </c>
      <c r="G1408" s="1" t="s">
        <v>1431</v>
      </c>
      <c r="H1408" s="1" t="s">
        <v>847</v>
      </c>
      <c r="I1408" s="3" t="str">
        <f>"1"</f>
        <v>1</v>
      </c>
      <c r="J1408" s="3">
        <v>95.75</v>
      </c>
      <c r="K1408" s="2">
        <v>45894</v>
      </c>
      <c r="L1408" s="2">
        <v>45897</v>
      </c>
      <c r="M1408" s="1" t="s">
        <v>7614</v>
      </c>
      <c r="N1408" s="1" t="s">
        <v>7613</v>
      </c>
    </row>
    <row r="1409" spans="1:14" x14ac:dyDescent="0.35">
      <c r="A1409" s="1" t="s">
        <v>4321</v>
      </c>
      <c r="B1409" s="3" t="s">
        <v>806</v>
      </c>
      <c r="C1409" s="1" t="s">
        <v>866</v>
      </c>
      <c r="D1409" s="1" t="s">
        <v>7612</v>
      </c>
      <c r="E1409" s="1" t="str">
        <f>"6230"</f>
        <v>6230</v>
      </c>
      <c r="F1409" s="1" t="str">
        <f>"015912511"</f>
        <v>015912511</v>
      </c>
      <c r="G1409" s="1" t="s">
        <v>538</v>
      </c>
      <c r="H1409" s="1" t="s">
        <v>15</v>
      </c>
      <c r="I1409" s="3" t="str">
        <f>"42"</f>
        <v>42</v>
      </c>
      <c r="J1409" s="3">
        <v>484.22</v>
      </c>
      <c r="K1409" s="2">
        <v>45893</v>
      </c>
      <c r="L1409" s="2">
        <v>45897</v>
      </c>
      <c r="M1409" s="1" t="s">
        <v>7611</v>
      </c>
      <c r="N1409" s="1" t="s">
        <v>4343</v>
      </c>
    </row>
    <row r="1410" spans="1:14" x14ac:dyDescent="0.35">
      <c r="A1410" s="1" t="s">
        <v>4321</v>
      </c>
      <c r="B1410" s="3" t="s">
        <v>806</v>
      </c>
      <c r="C1410" s="1" t="s">
        <v>866</v>
      </c>
      <c r="D1410" s="1" t="s">
        <v>7610</v>
      </c>
      <c r="E1410" s="1" t="str">
        <f>"5965"</f>
        <v>5965</v>
      </c>
      <c r="F1410" s="1" t="str">
        <f>"226296584"</f>
        <v>226296584</v>
      </c>
      <c r="G1410" s="1" t="s">
        <v>1389</v>
      </c>
      <c r="H1410" s="1" t="s">
        <v>15</v>
      </c>
      <c r="I1410" s="3" t="str">
        <f>"5"</f>
        <v>5</v>
      </c>
      <c r="J1410" s="3">
        <v>1567.84</v>
      </c>
      <c r="K1410" s="2">
        <v>45893</v>
      </c>
      <c r="L1410" s="2">
        <v>45897</v>
      </c>
      <c r="M1410" s="1" t="s">
        <v>7609</v>
      </c>
      <c r="N1410" s="1" t="s">
        <v>4343</v>
      </c>
    </row>
    <row r="1411" spans="1:14" x14ac:dyDescent="0.35">
      <c r="A1411" s="1" t="s">
        <v>4321</v>
      </c>
      <c r="B1411" s="3" t="s">
        <v>2987</v>
      </c>
      <c r="C1411" s="1" t="s">
        <v>3065</v>
      </c>
      <c r="D1411" s="1" t="s">
        <v>7608</v>
      </c>
      <c r="E1411" s="1" t="str">
        <f>"5965"</f>
        <v>5965</v>
      </c>
      <c r="F1411" s="1" t="str">
        <f>"226296584"</f>
        <v>226296584</v>
      </c>
      <c r="G1411" s="1" t="s">
        <v>1389</v>
      </c>
      <c r="H1411" s="1" t="s">
        <v>15</v>
      </c>
      <c r="I1411" s="3" t="str">
        <f>"5"</f>
        <v>5</v>
      </c>
      <c r="J1411" s="3">
        <v>1567.84</v>
      </c>
      <c r="K1411" s="2">
        <v>45893</v>
      </c>
      <c r="L1411" s="2">
        <v>45897</v>
      </c>
      <c r="M1411" s="1" t="s">
        <v>3085</v>
      </c>
      <c r="N1411" s="1" t="s">
        <v>7607</v>
      </c>
    </row>
    <row r="1412" spans="1:14" x14ac:dyDescent="0.35">
      <c r="A1412" s="1" t="s">
        <v>4321</v>
      </c>
      <c r="B1412" s="3" t="s">
        <v>4087</v>
      </c>
      <c r="C1412" s="1" t="s">
        <v>4143</v>
      </c>
      <c r="D1412" s="1" t="s">
        <v>7606</v>
      </c>
      <c r="E1412" s="1" t="str">
        <f>"5965"</f>
        <v>5965</v>
      </c>
      <c r="F1412" s="1" t="str">
        <f>"226296584"</f>
        <v>226296584</v>
      </c>
      <c r="G1412" s="1" t="s">
        <v>1389</v>
      </c>
      <c r="H1412" s="1" t="s">
        <v>15</v>
      </c>
      <c r="I1412" s="3" t="str">
        <f>"5"</f>
        <v>5</v>
      </c>
      <c r="J1412" s="3">
        <v>1567.84</v>
      </c>
      <c r="K1412" s="2">
        <v>45892</v>
      </c>
      <c r="L1412" s="2">
        <v>45897</v>
      </c>
      <c r="M1412" s="1" t="s">
        <v>7605</v>
      </c>
      <c r="N1412" s="1" t="s">
        <v>7604</v>
      </c>
    </row>
    <row r="1413" spans="1:14" x14ac:dyDescent="0.35">
      <c r="A1413" s="1" t="s">
        <v>4321</v>
      </c>
      <c r="B1413" s="3" t="s">
        <v>2248</v>
      </c>
      <c r="C1413" s="1" t="s">
        <v>7603</v>
      </c>
      <c r="D1413" s="1" t="s">
        <v>7602</v>
      </c>
      <c r="E1413" s="1" t="str">
        <f>"2330"</f>
        <v>2330</v>
      </c>
      <c r="F1413" s="1" t="s">
        <v>70</v>
      </c>
      <c r="G1413" s="1" t="s">
        <v>71</v>
      </c>
      <c r="H1413" s="1" t="s">
        <v>15</v>
      </c>
      <c r="I1413" s="3" t="str">
        <f>"1"</f>
        <v>1</v>
      </c>
      <c r="J1413" s="3" t="str">
        <f>"10500"</f>
        <v>10500</v>
      </c>
      <c r="K1413" s="2">
        <v>45887</v>
      </c>
      <c r="L1413" s="2">
        <v>45897</v>
      </c>
      <c r="M1413" s="1" t="s">
        <v>7601</v>
      </c>
      <c r="N1413" s="1" t="s">
        <v>7600</v>
      </c>
    </row>
    <row r="1414" spans="1:14" x14ac:dyDescent="0.35">
      <c r="A1414" s="1" t="s">
        <v>4321</v>
      </c>
      <c r="B1414" s="3" t="s">
        <v>691</v>
      </c>
      <c r="C1414" s="1" t="s">
        <v>701</v>
      </c>
      <c r="D1414" s="1" t="s">
        <v>7599</v>
      </c>
      <c r="E1414" s="1" t="str">
        <f>"2330"</f>
        <v>2330</v>
      </c>
      <c r="F1414" s="1" t="s">
        <v>70</v>
      </c>
      <c r="G1414" s="1" t="s">
        <v>71</v>
      </c>
      <c r="H1414" s="1" t="s">
        <v>15</v>
      </c>
      <c r="I1414" s="3" t="str">
        <f>"1"</f>
        <v>1</v>
      </c>
      <c r="J1414" s="3" t="str">
        <f>"10500"</f>
        <v>10500</v>
      </c>
      <c r="K1414" s="2">
        <v>45886</v>
      </c>
      <c r="L1414" s="2">
        <v>45897</v>
      </c>
      <c r="M1414" s="1" t="s">
        <v>7598</v>
      </c>
      <c r="N1414" s="1" t="s">
        <v>7597</v>
      </c>
    </row>
    <row r="1415" spans="1:14" x14ac:dyDescent="0.35">
      <c r="A1415" s="1" t="s">
        <v>4321</v>
      </c>
      <c r="B1415" s="3" t="s">
        <v>2000</v>
      </c>
      <c r="C1415" s="1" t="s">
        <v>2001</v>
      </c>
      <c r="D1415" s="1" t="s">
        <v>7596</v>
      </c>
      <c r="E1415" s="1" t="str">
        <f>"2330"</f>
        <v>2330</v>
      </c>
      <c r="F1415" s="1" t="s">
        <v>70</v>
      </c>
      <c r="G1415" s="1" t="s">
        <v>71</v>
      </c>
      <c r="H1415" s="1" t="s">
        <v>15</v>
      </c>
      <c r="I1415" s="3" t="str">
        <f>"1"</f>
        <v>1</v>
      </c>
      <c r="J1415" s="3" t="str">
        <f>"10500"</f>
        <v>10500</v>
      </c>
      <c r="K1415" s="2">
        <v>45885</v>
      </c>
      <c r="L1415" s="2">
        <v>45897</v>
      </c>
      <c r="M1415" s="1" t="s">
        <v>7595</v>
      </c>
      <c r="N1415" s="1" t="s">
        <v>7594</v>
      </c>
    </row>
    <row r="1416" spans="1:14" x14ac:dyDescent="0.35">
      <c r="A1416" s="1" t="s">
        <v>4321</v>
      </c>
      <c r="B1416" s="3" t="s">
        <v>4253</v>
      </c>
      <c r="C1416" s="1" t="s">
        <v>4268</v>
      </c>
      <c r="D1416" s="1" t="s">
        <v>7593</v>
      </c>
      <c r="E1416" s="1" t="str">
        <f>"2330"</f>
        <v>2330</v>
      </c>
      <c r="F1416" s="1" t="s">
        <v>70</v>
      </c>
      <c r="G1416" s="1" t="s">
        <v>71</v>
      </c>
      <c r="H1416" s="1" t="s">
        <v>15</v>
      </c>
      <c r="I1416" s="3" t="str">
        <f>"1"</f>
        <v>1</v>
      </c>
      <c r="J1416" s="3" t="str">
        <f>"10500"</f>
        <v>10500</v>
      </c>
      <c r="K1416" s="2">
        <v>45885</v>
      </c>
      <c r="L1416" s="2">
        <v>45897</v>
      </c>
      <c r="M1416" s="1" t="s">
        <v>7592</v>
      </c>
      <c r="N1416" s="1" t="s">
        <v>7591</v>
      </c>
    </row>
    <row r="1417" spans="1:14" x14ac:dyDescent="0.35">
      <c r="A1417" s="1" t="s">
        <v>4321</v>
      </c>
      <c r="B1417" s="3" t="s">
        <v>3183</v>
      </c>
      <c r="C1417" s="1" t="s">
        <v>3256</v>
      </c>
      <c r="D1417" s="1" t="s">
        <v>7590</v>
      </c>
      <c r="E1417" s="1" t="str">
        <f>"2330"</f>
        <v>2330</v>
      </c>
      <c r="F1417" s="1" t="s">
        <v>70</v>
      </c>
      <c r="G1417" s="1" t="s">
        <v>71</v>
      </c>
      <c r="H1417" s="1" t="s">
        <v>15</v>
      </c>
      <c r="I1417" s="3" t="str">
        <f>"1"</f>
        <v>1</v>
      </c>
      <c r="J1417" s="3" t="str">
        <f>"10500"</f>
        <v>10500</v>
      </c>
      <c r="K1417" s="2">
        <v>45885</v>
      </c>
      <c r="L1417" s="2">
        <v>45897</v>
      </c>
      <c r="M1417" s="1" t="s">
        <v>7589</v>
      </c>
      <c r="N1417" s="1" t="s">
        <v>7588</v>
      </c>
    </row>
    <row r="1418" spans="1:14" x14ac:dyDescent="0.35">
      <c r="A1418" s="1" t="s">
        <v>4321</v>
      </c>
      <c r="B1418" s="3" t="s">
        <v>2000</v>
      </c>
      <c r="C1418" s="1" t="s">
        <v>2043</v>
      </c>
      <c r="D1418" s="1" t="s">
        <v>7587</v>
      </c>
      <c r="E1418" s="1" t="str">
        <f>"2330"</f>
        <v>2330</v>
      </c>
      <c r="F1418" s="1" t="s">
        <v>70</v>
      </c>
      <c r="G1418" s="1" t="s">
        <v>71</v>
      </c>
      <c r="H1418" s="1" t="s">
        <v>15</v>
      </c>
      <c r="I1418" s="3" t="str">
        <f>"1"</f>
        <v>1</v>
      </c>
      <c r="J1418" s="3" t="str">
        <f>"10500"</f>
        <v>10500</v>
      </c>
      <c r="K1418" s="2">
        <v>45885</v>
      </c>
      <c r="L1418" s="2">
        <v>45897</v>
      </c>
      <c r="M1418" s="1" t="s">
        <v>2045</v>
      </c>
      <c r="N1418" s="1" t="s">
        <v>7586</v>
      </c>
    </row>
    <row r="1419" spans="1:14" x14ac:dyDescent="0.35">
      <c r="A1419" s="1" t="s">
        <v>4321</v>
      </c>
      <c r="B1419" s="3" t="s">
        <v>2720</v>
      </c>
      <c r="C1419" s="1" t="s">
        <v>2876</v>
      </c>
      <c r="D1419" s="1" t="s">
        <v>7585</v>
      </c>
      <c r="E1419" s="1" t="str">
        <f>"2330"</f>
        <v>2330</v>
      </c>
      <c r="F1419" s="1" t="s">
        <v>70</v>
      </c>
      <c r="G1419" s="1" t="s">
        <v>71</v>
      </c>
      <c r="H1419" s="1" t="s">
        <v>15</v>
      </c>
      <c r="I1419" s="3" t="str">
        <f>"1"</f>
        <v>1</v>
      </c>
      <c r="J1419" s="3" t="str">
        <f>"10500"</f>
        <v>10500</v>
      </c>
      <c r="K1419" s="2">
        <v>45885</v>
      </c>
      <c r="L1419" s="2">
        <v>45897</v>
      </c>
      <c r="M1419" s="1" t="s">
        <v>7584</v>
      </c>
      <c r="N1419" s="1" t="s">
        <v>7583</v>
      </c>
    </row>
    <row r="1420" spans="1:14" x14ac:dyDescent="0.35">
      <c r="A1420" s="1" t="s">
        <v>4321</v>
      </c>
      <c r="B1420" s="3" t="s">
        <v>2494</v>
      </c>
      <c r="C1420" s="1" t="s">
        <v>2600</v>
      </c>
      <c r="D1420" s="1" t="s">
        <v>7582</v>
      </c>
      <c r="E1420" s="1" t="str">
        <f>"2330"</f>
        <v>2330</v>
      </c>
      <c r="F1420" s="1" t="s">
        <v>70</v>
      </c>
      <c r="G1420" s="1" t="s">
        <v>71</v>
      </c>
      <c r="H1420" s="1" t="s">
        <v>15</v>
      </c>
      <c r="I1420" s="3" t="str">
        <f>"1"</f>
        <v>1</v>
      </c>
      <c r="J1420" s="3" t="str">
        <f>"10500"</f>
        <v>10500</v>
      </c>
      <c r="K1420" s="2">
        <v>45885</v>
      </c>
      <c r="L1420" s="2">
        <v>45897</v>
      </c>
      <c r="M1420" s="1" t="s">
        <v>7581</v>
      </c>
      <c r="N1420" s="1" t="s">
        <v>7580</v>
      </c>
    </row>
    <row r="1421" spans="1:14" x14ac:dyDescent="0.35">
      <c r="A1421" s="1" t="s">
        <v>4321</v>
      </c>
      <c r="B1421" s="3" t="s">
        <v>3885</v>
      </c>
      <c r="C1421" s="1" t="s">
        <v>4019</v>
      </c>
      <c r="D1421" s="1" t="s">
        <v>7579</v>
      </c>
      <c r="E1421" s="1" t="str">
        <f>"5855"</f>
        <v>5855</v>
      </c>
      <c r="F1421" s="1" t="str">
        <f>"015665301"</f>
        <v>015665301</v>
      </c>
      <c r="G1421" s="1" t="s">
        <v>1904</v>
      </c>
      <c r="H1421" s="1" t="s">
        <v>15</v>
      </c>
      <c r="I1421" s="3" t="str">
        <f>"14"</f>
        <v>14</v>
      </c>
      <c r="J1421" s="3">
        <v>445.26</v>
      </c>
      <c r="K1421" s="2">
        <v>45866</v>
      </c>
      <c r="L1421" s="2">
        <v>45897</v>
      </c>
      <c r="M1421" s="1" t="s">
        <v>7578</v>
      </c>
      <c r="N1421" s="1" t="s">
        <v>7577</v>
      </c>
    </row>
    <row r="1422" spans="1:14" x14ac:dyDescent="0.35">
      <c r="A1422" s="1" t="s">
        <v>4321</v>
      </c>
      <c r="B1422" s="3" t="s">
        <v>2248</v>
      </c>
      <c r="C1422" s="1" t="s">
        <v>2357</v>
      </c>
      <c r="D1422" s="1" t="s">
        <v>7576</v>
      </c>
      <c r="E1422" s="1" t="str">
        <f>"5855"</f>
        <v>5855</v>
      </c>
      <c r="F1422" s="1" t="str">
        <f>"015665301"</f>
        <v>015665301</v>
      </c>
      <c r="G1422" s="1" t="s">
        <v>1904</v>
      </c>
      <c r="H1422" s="1" t="s">
        <v>15</v>
      </c>
      <c r="I1422" s="3" t="str">
        <f>"15"</f>
        <v>15</v>
      </c>
      <c r="J1422" s="3">
        <v>445.26</v>
      </c>
      <c r="K1422" s="2">
        <v>45861</v>
      </c>
      <c r="L1422" s="2">
        <v>45897</v>
      </c>
      <c r="M1422" s="1" t="s">
        <v>7575</v>
      </c>
      <c r="N1422" s="1" t="s">
        <v>7574</v>
      </c>
    </row>
    <row r="1423" spans="1:14" x14ac:dyDescent="0.35">
      <c r="A1423" s="1" t="s">
        <v>4321</v>
      </c>
      <c r="B1423" s="3" t="s">
        <v>4087</v>
      </c>
      <c r="C1423" s="1" t="s">
        <v>4134</v>
      </c>
      <c r="D1423" s="1" t="s">
        <v>7573</v>
      </c>
      <c r="E1423" s="1" t="str">
        <f>"1240"</f>
        <v>1240</v>
      </c>
      <c r="F1423" s="1" t="s">
        <v>1461</v>
      </c>
      <c r="G1423" s="1" t="s">
        <v>1462</v>
      </c>
      <c r="H1423" s="1" t="s">
        <v>15</v>
      </c>
      <c r="I1423" s="3" t="str">
        <f>"4"</f>
        <v>4</v>
      </c>
      <c r="J1423" s="3" t="str">
        <f>"5000"</f>
        <v>5000</v>
      </c>
      <c r="K1423" s="2">
        <v>45895</v>
      </c>
      <c r="L1423" s="2">
        <v>45896</v>
      </c>
      <c r="M1423" s="1" t="s">
        <v>7572</v>
      </c>
      <c r="N1423" s="1" t="s">
        <v>4343</v>
      </c>
    </row>
    <row r="1424" spans="1:14" x14ac:dyDescent="0.35">
      <c r="A1424" s="1" t="s">
        <v>4321</v>
      </c>
      <c r="B1424" s="3" t="s">
        <v>4087</v>
      </c>
      <c r="C1424" s="1" t="s">
        <v>4143</v>
      </c>
      <c r="D1424" s="1" t="s">
        <v>7571</v>
      </c>
      <c r="E1424" s="1" t="str">
        <f>"7520"</f>
        <v>7520</v>
      </c>
      <c r="F1424" s="1" t="str">
        <f>"014936006"</f>
        <v>014936006</v>
      </c>
      <c r="G1424" s="1" t="s">
        <v>7570</v>
      </c>
      <c r="H1424" s="1" t="s">
        <v>19</v>
      </c>
      <c r="I1424" s="3" t="str">
        <f>"4"</f>
        <v>4</v>
      </c>
      <c r="J1424" s="3">
        <v>73.89</v>
      </c>
      <c r="K1424" s="2">
        <v>45895</v>
      </c>
      <c r="L1424" s="2">
        <v>45896</v>
      </c>
      <c r="M1424" s="1" t="s">
        <v>7569</v>
      </c>
      <c r="N1424" s="1" t="s">
        <v>7568</v>
      </c>
    </row>
    <row r="1425" spans="1:14" x14ac:dyDescent="0.35">
      <c r="A1425" s="1" t="s">
        <v>4321</v>
      </c>
      <c r="B1425" s="3" t="s">
        <v>4087</v>
      </c>
      <c r="C1425" s="1" t="s">
        <v>4143</v>
      </c>
      <c r="D1425" s="1" t="s">
        <v>7567</v>
      </c>
      <c r="E1425" s="1" t="str">
        <f>"7520"</f>
        <v>7520</v>
      </c>
      <c r="F1425" s="1" t="str">
        <f>"016222122"</f>
        <v>016222122</v>
      </c>
      <c r="G1425" s="1" t="s">
        <v>7566</v>
      </c>
      <c r="H1425" s="1" t="s">
        <v>15</v>
      </c>
      <c r="I1425" s="3" t="str">
        <f>"8"</f>
        <v>8</v>
      </c>
      <c r="J1425" s="3">
        <v>13.55</v>
      </c>
      <c r="K1425" s="2">
        <v>45895</v>
      </c>
      <c r="L1425" s="2">
        <v>45896</v>
      </c>
      <c r="M1425" s="1" t="s">
        <v>7565</v>
      </c>
      <c r="N1425" s="1" t="s">
        <v>7564</v>
      </c>
    </row>
    <row r="1426" spans="1:14" x14ac:dyDescent="0.35">
      <c r="A1426" s="1" t="s">
        <v>4321</v>
      </c>
      <c r="B1426" s="3" t="s">
        <v>2494</v>
      </c>
      <c r="C1426" s="1" t="s">
        <v>2584</v>
      </c>
      <c r="D1426" s="1" t="s">
        <v>7563</v>
      </c>
      <c r="E1426" s="1" t="str">
        <f>"5855"</f>
        <v>5855</v>
      </c>
      <c r="F1426" s="1" t="str">
        <f>"016002912"</f>
        <v>016002912</v>
      </c>
      <c r="G1426" s="1" t="s">
        <v>2117</v>
      </c>
      <c r="H1426" s="1" t="s">
        <v>15</v>
      </c>
      <c r="I1426" s="3" t="str">
        <f>"4"</f>
        <v>4</v>
      </c>
      <c r="J1426" s="3" t="str">
        <f>"18000"</f>
        <v>18000</v>
      </c>
      <c r="K1426" s="2">
        <v>45895</v>
      </c>
      <c r="L1426" s="2">
        <v>45896</v>
      </c>
      <c r="M1426" s="1" t="s">
        <v>7562</v>
      </c>
      <c r="N1426" s="1" t="s">
        <v>4343</v>
      </c>
    </row>
    <row r="1427" spans="1:14" x14ac:dyDescent="0.35">
      <c r="A1427" s="1" t="s">
        <v>4321</v>
      </c>
      <c r="B1427" s="3" t="s">
        <v>3105</v>
      </c>
      <c r="C1427" s="1" t="s">
        <v>3154</v>
      </c>
      <c r="D1427" s="1" t="s">
        <v>7561</v>
      </c>
      <c r="E1427" s="1" t="str">
        <f>"8465"</f>
        <v>8465</v>
      </c>
      <c r="F1427" s="1" t="str">
        <f>"015851512"</f>
        <v>015851512</v>
      </c>
      <c r="G1427" s="1" t="s">
        <v>57</v>
      </c>
      <c r="H1427" s="1" t="s">
        <v>58</v>
      </c>
      <c r="I1427" s="3" t="str">
        <f>"9"</f>
        <v>9</v>
      </c>
      <c r="J1427" s="3">
        <v>120.52</v>
      </c>
      <c r="K1427" s="2">
        <v>45895</v>
      </c>
      <c r="L1427" s="2">
        <v>45896</v>
      </c>
      <c r="M1427" s="1" t="s">
        <v>7536</v>
      </c>
      <c r="N1427" s="1" t="s">
        <v>4343</v>
      </c>
    </row>
    <row r="1428" spans="1:14" x14ac:dyDescent="0.35">
      <c r="A1428" s="1" t="s">
        <v>4321</v>
      </c>
      <c r="B1428" s="3" t="s">
        <v>601</v>
      </c>
      <c r="C1428" s="1" t="s">
        <v>667</v>
      </c>
      <c r="D1428" s="1" t="s">
        <v>7560</v>
      </c>
      <c r="E1428" s="1" t="str">
        <f>"8465"</f>
        <v>8465</v>
      </c>
      <c r="F1428" s="1" t="s">
        <v>2516</v>
      </c>
      <c r="G1428" s="1" t="s">
        <v>2517</v>
      </c>
      <c r="H1428" s="1" t="s">
        <v>15</v>
      </c>
      <c r="I1428" s="3" t="str">
        <f>"16"</f>
        <v>16</v>
      </c>
      <c r="J1428" s="3" t="str">
        <f>"125"</f>
        <v>125</v>
      </c>
      <c r="K1428" s="2">
        <v>45895</v>
      </c>
      <c r="L1428" s="2">
        <v>45896</v>
      </c>
      <c r="M1428" s="1" t="s">
        <v>7559</v>
      </c>
      <c r="N1428" s="1" t="s">
        <v>4343</v>
      </c>
    </row>
    <row r="1429" spans="1:14" x14ac:dyDescent="0.35">
      <c r="A1429" s="1" t="s">
        <v>4321</v>
      </c>
      <c r="B1429" s="3" t="s">
        <v>2456</v>
      </c>
      <c r="C1429" s="1" t="s">
        <v>2457</v>
      </c>
      <c r="D1429" s="1" t="s">
        <v>7558</v>
      </c>
      <c r="E1429" s="1" t="str">
        <f>"8465"</f>
        <v>8465</v>
      </c>
      <c r="F1429" s="1" t="str">
        <f>"015851512"</f>
        <v>015851512</v>
      </c>
      <c r="G1429" s="1" t="s">
        <v>57</v>
      </c>
      <c r="H1429" s="1" t="s">
        <v>58</v>
      </c>
      <c r="I1429" s="3" t="str">
        <f>"3"</f>
        <v>3</v>
      </c>
      <c r="J1429" s="3">
        <v>120.52</v>
      </c>
      <c r="K1429" s="2">
        <v>45894</v>
      </c>
      <c r="L1429" s="2">
        <v>45896</v>
      </c>
      <c r="M1429" s="1" t="s">
        <v>2484</v>
      </c>
      <c r="N1429" s="1" t="s">
        <v>7557</v>
      </c>
    </row>
    <row r="1430" spans="1:14" x14ac:dyDescent="0.35">
      <c r="A1430" s="1" t="s">
        <v>4321</v>
      </c>
      <c r="B1430" s="3" t="s">
        <v>3513</v>
      </c>
      <c r="C1430" s="1" t="s">
        <v>3865</v>
      </c>
      <c r="D1430" s="1" t="s">
        <v>7556</v>
      </c>
      <c r="E1430" s="1" t="str">
        <f>"4130"</f>
        <v>4130</v>
      </c>
      <c r="F1430" s="1" t="str">
        <f>"014127797"</f>
        <v>014127797</v>
      </c>
      <c r="G1430" s="1" t="s">
        <v>7555</v>
      </c>
      <c r="H1430" s="1" t="s">
        <v>15</v>
      </c>
      <c r="I1430" s="3" t="str">
        <f>"1"</f>
        <v>1</v>
      </c>
      <c r="J1430" s="3">
        <v>2797.12</v>
      </c>
      <c r="K1430" s="2">
        <v>45894</v>
      </c>
      <c r="L1430" s="2">
        <v>45896</v>
      </c>
      <c r="M1430" s="1" t="s">
        <v>3869</v>
      </c>
      <c r="N1430" s="1" t="s">
        <v>7554</v>
      </c>
    </row>
    <row r="1431" spans="1:14" x14ac:dyDescent="0.35">
      <c r="A1431" s="1" t="s">
        <v>4321</v>
      </c>
      <c r="B1431" s="3" t="s">
        <v>3513</v>
      </c>
      <c r="C1431" s="1" t="s">
        <v>3865</v>
      </c>
      <c r="D1431" s="1" t="s">
        <v>7556</v>
      </c>
      <c r="E1431" s="1" t="str">
        <f>"4130"</f>
        <v>4130</v>
      </c>
      <c r="F1431" s="1" t="str">
        <f>"014127797"</f>
        <v>014127797</v>
      </c>
      <c r="G1431" s="1" t="s">
        <v>7555</v>
      </c>
      <c r="H1431" s="1" t="s">
        <v>15</v>
      </c>
      <c r="I1431" s="3" t="str">
        <f>"1"</f>
        <v>1</v>
      </c>
      <c r="J1431" s="3">
        <v>2797.12</v>
      </c>
      <c r="K1431" s="2">
        <v>45894</v>
      </c>
      <c r="L1431" s="2">
        <v>45896</v>
      </c>
      <c r="M1431" s="1" t="s">
        <v>3869</v>
      </c>
      <c r="N1431" s="1" t="s">
        <v>7554</v>
      </c>
    </row>
    <row r="1432" spans="1:14" x14ac:dyDescent="0.35">
      <c r="A1432" s="1" t="s">
        <v>4321</v>
      </c>
      <c r="B1432" s="3" t="s">
        <v>3513</v>
      </c>
      <c r="C1432" s="1" t="s">
        <v>3865</v>
      </c>
      <c r="D1432" s="1" t="s">
        <v>7553</v>
      </c>
      <c r="E1432" s="1" t="str">
        <f>"3805"</f>
        <v>3805</v>
      </c>
      <c r="F1432" s="1" t="str">
        <f>"004381464"</f>
        <v>004381464</v>
      </c>
      <c r="G1432" s="1" t="s">
        <v>587</v>
      </c>
      <c r="H1432" s="1" t="s">
        <v>15</v>
      </c>
      <c r="I1432" s="3" t="str">
        <f>"1"</f>
        <v>1</v>
      </c>
      <c r="J1432" s="3" t="str">
        <f>"140000"</f>
        <v>140000</v>
      </c>
      <c r="K1432" s="2">
        <v>45894</v>
      </c>
      <c r="L1432" s="2">
        <v>45896</v>
      </c>
      <c r="M1432" s="1" t="s">
        <v>7552</v>
      </c>
      <c r="N1432" s="1" t="s">
        <v>7551</v>
      </c>
    </row>
    <row r="1433" spans="1:14" x14ac:dyDescent="0.35">
      <c r="A1433" s="1" t="s">
        <v>4321</v>
      </c>
      <c r="B1433" s="3" t="s">
        <v>3513</v>
      </c>
      <c r="C1433" s="1" t="s">
        <v>3865</v>
      </c>
      <c r="D1433" s="1" t="s">
        <v>7553</v>
      </c>
      <c r="E1433" s="1" t="str">
        <f>"3805"</f>
        <v>3805</v>
      </c>
      <c r="F1433" s="1" t="str">
        <f>"004381464"</f>
        <v>004381464</v>
      </c>
      <c r="G1433" s="1" t="s">
        <v>587</v>
      </c>
      <c r="H1433" s="1" t="s">
        <v>15</v>
      </c>
      <c r="I1433" s="3" t="str">
        <f>"1"</f>
        <v>1</v>
      </c>
      <c r="J1433" s="3" t="str">
        <f>"140000"</f>
        <v>140000</v>
      </c>
      <c r="K1433" s="2">
        <v>45894</v>
      </c>
      <c r="L1433" s="2">
        <v>45896</v>
      </c>
      <c r="M1433" s="1" t="s">
        <v>7552</v>
      </c>
      <c r="N1433" s="1" t="s">
        <v>7551</v>
      </c>
    </row>
    <row r="1434" spans="1:14" x14ac:dyDescent="0.35">
      <c r="A1434" s="1" t="s">
        <v>4321</v>
      </c>
      <c r="B1434" s="3" t="s">
        <v>4087</v>
      </c>
      <c r="C1434" s="1" t="s">
        <v>4143</v>
      </c>
      <c r="D1434" s="1" t="s">
        <v>7550</v>
      </c>
      <c r="E1434" s="1" t="str">
        <f>"5855"</f>
        <v>5855</v>
      </c>
      <c r="F1434" s="1" t="str">
        <f>"015330555"</f>
        <v>015330555</v>
      </c>
      <c r="G1434" s="1" t="s">
        <v>2656</v>
      </c>
      <c r="H1434" s="1" t="s">
        <v>15</v>
      </c>
      <c r="I1434" s="3" t="str">
        <f>"10"</f>
        <v>10</v>
      </c>
      <c r="J1434" s="3" t="str">
        <f>"1800"</f>
        <v>1800</v>
      </c>
      <c r="K1434" s="2">
        <v>45887</v>
      </c>
      <c r="L1434" s="2">
        <v>45896</v>
      </c>
      <c r="M1434" s="1" t="s">
        <v>7549</v>
      </c>
      <c r="N1434" s="1" t="s">
        <v>7548</v>
      </c>
    </row>
    <row r="1435" spans="1:14" x14ac:dyDescent="0.35">
      <c r="A1435" s="1" t="s">
        <v>4321</v>
      </c>
      <c r="B1435" s="3" t="s">
        <v>4253</v>
      </c>
      <c r="C1435" s="1" t="s">
        <v>4271</v>
      </c>
      <c r="D1435" s="1" t="s">
        <v>7547</v>
      </c>
      <c r="E1435" s="1" t="str">
        <f>"5855"</f>
        <v>5855</v>
      </c>
      <c r="F1435" s="1" t="str">
        <f>"015330555"</f>
        <v>015330555</v>
      </c>
      <c r="G1435" s="1" t="s">
        <v>2656</v>
      </c>
      <c r="H1435" s="1" t="s">
        <v>15</v>
      </c>
      <c r="I1435" s="3" t="str">
        <f>"17"</f>
        <v>17</v>
      </c>
      <c r="J1435" s="3" t="str">
        <f>"1800"</f>
        <v>1800</v>
      </c>
      <c r="K1435" s="2">
        <v>45884</v>
      </c>
      <c r="L1435" s="2">
        <v>45896</v>
      </c>
      <c r="M1435" s="1" t="s">
        <v>4273</v>
      </c>
      <c r="N1435" s="1" t="s">
        <v>7546</v>
      </c>
    </row>
    <row r="1436" spans="1:14" x14ac:dyDescent="0.35">
      <c r="A1436" s="1" t="s">
        <v>4321</v>
      </c>
      <c r="B1436" s="3" t="s">
        <v>2248</v>
      </c>
      <c r="C1436" s="1" t="s">
        <v>2265</v>
      </c>
      <c r="D1436" s="1" t="s">
        <v>7545</v>
      </c>
      <c r="E1436" s="1" t="str">
        <f>"1005"</f>
        <v>1005</v>
      </c>
      <c r="F1436" s="1" t="str">
        <f>"015751485"</f>
        <v>015751485</v>
      </c>
      <c r="G1436" s="1" t="s">
        <v>7544</v>
      </c>
      <c r="H1436" s="1" t="s">
        <v>15</v>
      </c>
      <c r="I1436" s="3" t="str">
        <f>"5"</f>
        <v>5</v>
      </c>
      <c r="J1436" s="3">
        <v>736.91</v>
      </c>
      <c r="K1436" s="2">
        <v>45877</v>
      </c>
      <c r="L1436" s="2">
        <v>45896</v>
      </c>
      <c r="M1436" s="1" t="s">
        <v>7543</v>
      </c>
      <c r="N1436" s="1" t="s">
        <v>7542</v>
      </c>
    </row>
    <row r="1437" spans="1:14" x14ac:dyDescent="0.35">
      <c r="A1437" s="1" t="s">
        <v>4321</v>
      </c>
      <c r="B1437" s="3" t="s">
        <v>3513</v>
      </c>
      <c r="C1437" s="1" t="s">
        <v>7541</v>
      </c>
      <c r="D1437" s="1" t="s">
        <v>7540</v>
      </c>
      <c r="E1437" s="1" t="str">
        <f>"1940"</f>
        <v>1940</v>
      </c>
      <c r="F1437" s="1" t="str">
        <f>"014459692"</f>
        <v>014459692</v>
      </c>
      <c r="G1437" s="1" t="s">
        <v>5464</v>
      </c>
      <c r="H1437" s="1" t="s">
        <v>15</v>
      </c>
      <c r="I1437" s="3" t="str">
        <f>"1"</f>
        <v>1</v>
      </c>
      <c r="J1437" s="3" t="str">
        <f>"11893"</f>
        <v>11893</v>
      </c>
      <c r="K1437" s="2">
        <v>45875</v>
      </c>
      <c r="L1437" s="2">
        <v>45896</v>
      </c>
      <c r="M1437" s="1" t="s">
        <v>7539</v>
      </c>
      <c r="N1437" s="1" t="s">
        <v>7538</v>
      </c>
    </row>
    <row r="1438" spans="1:14" x14ac:dyDescent="0.35">
      <c r="A1438" s="1" t="s">
        <v>4321</v>
      </c>
      <c r="B1438" s="3" t="s">
        <v>3105</v>
      </c>
      <c r="C1438" s="1" t="s">
        <v>3154</v>
      </c>
      <c r="D1438" s="1" t="s">
        <v>7537</v>
      </c>
      <c r="E1438" s="1" t="str">
        <f>"6910"</f>
        <v>6910</v>
      </c>
      <c r="F1438" s="1" t="s">
        <v>3926</v>
      </c>
      <c r="G1438" s="1" t="s">
        <v>3927</v>
      </c>
      <c r="H1438" s="1" t="s">
        <v>15</v>
      </c>
      <c r="I1438" s="3" t="str">
        <f>"9"</f>
        <v>9</v>
      </c>
      <c r="J1438" s="3" t="str">
        <f>"183"</f>
        <v>183</v>
      </c>
      <c r="K1438" s="2">
        <v>45895</v>
      </c>
      <c r="L1438" s="2">
        <v>45895</v>
      </c>
      <c r="M1438" s="1" t="s">
        <v>7536</v>
      </c>
    </row>
    <row r="1439" spans="1:14" x14ac:dyDescent="0.35">
      <c r="A1439" s="1" t="s">
        <v>4321</v>
      </c>
      <c r="B1439" s="3" t="s">
        <v>2720</v>
      </c>
      <c r="C1439" s="1" t="s">
        <v>2745</v>
      </c>
      <c r="D1439" s="1" t="s">
        <v>7535</v>
      </c>
      <c r="E1439" s="1" t="str">
        <f>"1005"</f>
        <v>1005</v>
      </c>
      <c r="F1439" s="1" t="str">
        <f>"016309508"</f>
        <v>016309508</v>
      </c>
      <c r="G1439" s="1" t="s">
        <v>4601</v>
      </c>
      <c r="H1439" s="1" t="s">
        <v>15</v>
      </c>
      <c r="I1439" s="3" t="str">
        <f>"45"</f>
        <v>45</v>
      </c>
      <c r="J1439" s="3">
        <v>13.99</v>
      </c>
      <c r="K1439" s="2">
        <v>45894</v>
      </c>
      <c r="L1439" s="2">
        <v>45895</v>
      </c>
      <c r="M1439" s="1" t="s">
        <v>7534</v>
      </c>
    </row>
    <row r="1440" spans="1:14" x14ac:dyDescent="0.35">
      <c r="A1440" s="1" t="s">
        <v>4321</v>
      </c>
      <c r="B1440" s="3" t="s">
        <v>4087</v>
      </c>
      <c r="C1440" s="1" t="s">
        <v>4121</v>
      </c>
      <c r="D1440" s="1" t="s">
        <v>7533</v>
      </c>
      <c r="E1440" s="1" t="str">
        <f>"7520"</f>
        <v>7520</v>
      </c>
      <c r="F1440" s="1" t="str">
        <f>"016611668"</f>
        <v>016611668</v>
      </c>
      <c r="G1440" s="1" t="s">
        <v>6501</v>
      </c>
      <c r="H1440" s="1" t="s">
        <v>15</v>
      </c>
      <c r="I1440" s="3" t="str">
        <f>"10"</f>
        <v>10</v>
      </c>
      <c r="J1440" s="3">
        <v>34.49</v>
      </c>
      <c r="K1440" s="2">
        <v>45894</v>
      </c>
      <c r="L1440" s="2">
        <v>45895</v>
      </c>
      <c r="M1440" s="1" t="s">
        <v>7532</v>
      </c>
      <c r="N1440" s="1" t="s">
        <v>4343</v>
      </c>
    </row>
    <row r="1441" spans="1:14" x14ac:dyDescent="0.35">
      <c r="A1441" s="1" t="s">
        <v>4321</v>
      </c>
      <c r="B1441" s="3" t="s">
        <v>1848</v>
      </c>
      <c r="C1441" s="1" t="s">
        <v>1849</v>
      </c>
      <c r="D1441" s="1" t="s">
        <v>7531</v>
      </c>
      <c r="E1441" s="1" t="str">
        <f>"4240"</f>
        <v>4240</v>
      </c>
      <c r="F1441" s="1" t="str">
        <f>"014925720"</f>
        <v>014925720</v>
      </c>
      <c r="G1441" s="1" t="s">
        <v>211</v>
      </c>
      <c r="H1441" s="1" t="s">
        <v>15</v>
      </c>
      <c r="I1441" s="3" t="str">
        <f>"19"</f>
        <v>19</v>
      </c>
      <c r="J1441" s="3">
        <v>76.48</v>
      </c>
      <c r="K1441" s="2">
        <v>45894</v>
      </c>
      <c r="L1441" s="2">
        <v>45895</v>
      </c>
      <c r="M1441" s="1" t="s">
        <v>7530</v>
      </c>
      <c r="N1441" s="1" t="s">
        <v>4343</v>
      </c>
    </row>
    <row r="1442" spans="1:14" x14ac:dyDescent="0.35">
      <c r="A1442" s="1" t="s">
        <v>4321</v>
      </c>
      <c r="B1442" s="3" t="s">
        <v>806</v>
      </c>
      <c r="C1442" s="1" t="s">
        <v>1079</v>
      </c>
      <c r="D1442" s="1" t="s">
        <v>7529</v>
      </c>
      <c r="E1442" s="1" t="str">
        <f>"7830"</f>
        <v>7830</v>
      </c>
      <c r="F1442" s="1" t="str">
        <f>"010839826"</f>
        <v>010839826</v>
      </c>
      <c r="G1442" s="1" t="s">
        <v>7528</v>
      </c>
      <c r="H1442" s="1" t="s">
        <v>847</v>
      </c>
      <c r="I1442" s="3" t="str">
        <f>"2"</f>
        <v>2</v>
      </c>
      <c r="J1442" s="3">
        <v>344.82</v>
      </c>
      <c r="K1442" s="2">
        <v>45894</v>
      </c>
      <c r="L1442" s="2">
        <v>45895</v>
      </c>
      <c r="M1442" s="1" t="s">
        <v>7527</v>
      </c>
      <c r="N1442" s="1" t="s">
        <v>4343</v>
      </c>
    </row>
    <row r="1443" spans="1:14" x14ac:dyDescent="0.35">
      <c r="A1443" s="1" t="s">
        <v>4321</v>
      </c>
      <c r="B1443" s="3" t="s">
        <v>2494</v>
      </c>
      <c r="C1443" s="1" t="s">
        <v>2600</v>
      </c>
      <c r="D1443" s="1" t="s">
        <v>7526</v>
      </c>
      <c r="E1443" s="1" t="str">
        <f>"2310"</f>
        <v>2310</v>
      </c>
      <c r="F1443" s="1" t="s">
        <v>2377</v>
      </c>
      <c r="G1443" s="1" t="s">
        <v>2378</v>
      </c>
      <c r="H1443" s="1" t="s">
        <v>15</v>
      </c>
      <c r="I1443" s="3" t="str">
        <f>"1"</f>
        <v>1</v>
      </c>
      <c r="J1443" s="3" t="str">
        <f>"15000"</f>
        <v>15000</v>
      </c>
      <c r="K1443" s="2">
        <v>45893</v>
      </c>
      <c r="L1443" s="2">
        <v>45895</v>
      </c>
      <c r="M1443" s="1" t="s">
        <v>7525</v>
      </c>
      <c r="N1443" s="1" t="s">
        <v>7524</v>
      </c>
    </row>
    <row r="1444" spans="1:14" x14ac:dyDescent="0.35">
      <c r="A1444" s="1" t="s">
        <v>4321</v>
      </c>
      <c r="B1444" s="3" t="s">
        <v>2638</v>
      </c>
      <c r="C1444" s="1" t="s">
        <v>2713</v>
      </c>
      <c r="D1444" s="1" t="s">
        <v>7523</v>
      </c>
      <c r="E1444" s="1" t="str">
        <f>"7510"</f>
        <v>7510</v>
      </c>
      <c r="F1444" s="1" t="str">
        <f>"000745100"</f>
        <v>000745100</v>
      </c>
      <c r="G1444" s="1" t="s">
        <v>3987</v>
      </c>
      <c r="H1444" s="1" t="s">
        <v>532</v>
      </c>
      <c r="I1444" s="3" t="str">
        <f>"13"</f>
        <v>13</v>
      </c>
      <c r="J1444" s="3">
        <v>29.11</v>
      </c>
      <c r="K1444" s="2">
        <v>45889</v>
      </c>
      <c r="L1444" s="2">
        <v>45895</v>
      </c>
      <c r="M1444" s="1" t="s">
        <v>7522</v>
      </c>
      <c r="N1444" s="1" t="s">
        <v>7521</v>
      </c>
    </row>
    <row r="1445" spans="1:14" x14ac:dyDescent="0.35">
      <c r="A1445" s="1" t="s">
        <v>4321</v>
      </c>
      <c r="B1445" s="3" t="s">
        <v>806</v>
      </c>
      <c r="C1445" s="1" t="s">
        <v>866</v>
      </c>
      <c r="D1445" s="1" t="s">
        <v>7520</v>
      </c>
      <c r="E1445" s="1" t="str">
        <f>"5965"</f>
        <v>5965</v>
      </c>
      <c r="F1445" s="1" t="str">
        <f>"016488042"</f>
        <v>016488042</v>
      </c>
      <c r="G1445" s="1" t="s">
        <v>1389</v>
      </c>
      <c r="H1445" s="1" t="s">
        <v>15</v>
      </c>
      <c r="I1445" s="3" t="str">
        <f>"10"</f>
        <v>10</v>
      </c>
      <c r="J1445" s="3">
        <v>593.34</v>
      </c>
      <c r="K1445" s="2">
        <v>45887</v>
      </c>
      <c r="L1445" s="2">
        <v>45895</v>
      </c>
      <c r="M1445" s="1" t="s">
        <v>7519</v>
      </c>
      <c r="N1445" s="1" t="s">
        <v>4343</v>
      </c>
    </row>
    <row r="1446" spans="1:14" x14ac:dyDescent="0.35">
      <c r="A1446" s="1" t="s">
        <v>4321</v>
      </c>
      <c r="B1446" s="3" t="s">
        <v>3513</v>
      </c>
      <c r="C1446" s="1" t="s">
        <v>7518</v>
      </c>
      <c r="D1446" s="1" t="s">
        <v>7517</v>
      </c>
      <c r="E1446" s="1" t="str">
        <f>"6515"</f>
        <v>6515</v>
      </c>
      <c r="F1446" s="1" t="s">
        <v>249</v>
      </c>
      <c r="G1446" s="1" t="s">
        <v>250</v>
      </c>
      <c r="H1446" s="1" t="s">
        <v>15</v>
      </c>
      <c r="I1446" s="3" t="str">
        <f>"14"</f>
        <v>14</v>
      </c>
      <c r="J1446" s="3" t="str">
        <f>"900"</f>
        <v>900</v>
      </c>
      <c r="K1446" s="2">
        <v>45887</v>
      </c>
      <c r="L1446" s="2">
        <v>45895</v>
      </c>
      <c r="M1446" s="1" t="s">
        <v>7516</v>
      </c>
      <c r="N1446" s="1" t="s">
        <v>7515</v>
      </c>
    </row>
    <row r="1447" spans="1:14" x14ac:dyDescent="0.35">
      <c r="A1447" s="1" t="s">
        <v>4321</v>
      </c>
      <c r="B1447" s="3" t="s">
        <v>1407</v>
      </c>
      <c r="C1447" s="1" t="s">
        <v>1420</v>
      </c>
      <c r="D1447" s="1" t="s">
        <v>7514</v>
      </c>
      <c r="E1447" s="1" t="str">
        <f>"8405"</f>
        <v>8405</v>
      </c>
      <c r="F1447" s="1" t="str">
        <f>"015472555"</f>
        <v>015472555</v>
      </c>
      <c r="G1447" s="1" t="s">
        <v>2863</v>
      </c>
      <c r="H1447" s="1" t="s">
        <v>15</v>
      </c>
      <c r="I1447" s="3" t="str">
        <f>"11"</f>
        <v>11</v>
      </c>
      <c r="J1447" s="3">
        <v>65.52</v>
      </c>
      <c r="K1447" s="2">
        <v>45887</v>
      </c>
      <c r="L1447" s="2">
        <v>45895</v>
      </c>
      <c r="M1447" s="1" t="s">
        <v>7513</v>
      </c>
      <c r="N1447" s="1" t="s">
        <v>4343</v>
      </c>
    </row>
    <row r="1448" spans="1:14" x14ac:dyDescent="0.35">
      <c r="A1448" s="1" t="s">
        <v>4321</v>
      </c>
      <c r="B1448" s="3" t="s">
        <v>3183</v>
      </c>
      <c r="C1448" s="1" t="s">
        <v>7512</v>
      </c>
      <c r="D1448" s="1" t="s">
        <v>7511</v>
      </c>
      <c r="E1448" s="1" t="str">
        <f>"5855"</f>
        <v>5855</v>
      </c>
      <c r="F1448" s="1" t="str">
        <f>"014485464"</f>
        <v>014485464</v>
      </c>
      <c r="G1448" s="1" t="s">
        <v>1931</v>
      </c>
      <c r="H1448" s="1" t="s">
        <v>15</v>
      </c>
      <c r="I1448" s="3" t="str">
        <f>"15"</f>
        <v>15</v>
      </c>
      <c r="J1448" s="3" t="str">
        <f>"359"</f>
        <v>359</v>
      </c>
      <c r="K1448" s="2">
        <v>45884</v>
      </c>
      <c r="L1448" s="2">
        <v>45895</v>
      </c>
      <c r="M1448" s="1" t="s">
        <v>7510</v>
      </c>
      <c r="N1448" s="1" t="s">
        <v>7509</v>
      </c>
    </row>
    <row r="1449" spans="1:14" x14ac:dyDescent="0.35">
      <c r="A1449" s="1" t="s">
        <v>4321</v>
      </c>
      <c r="B1449" s="3" t="s">
        <v>1407</v>
      </c>
      <c r="C1449" s="1" t="s">
        <v>1420</v>
      </c>
      <c r="D1449" s="1" t="s">
        <v>7508</v>
      </c>
      <c r="E1449" s="1" t="str">
        <f>"8405"</f>
        <v>8405</v>
      </c>
      <c r="F1449" s="1" t="str">
        <f>"015472555"</f>
        <v>015472555</v>
      </c>
      <c r="G1449" s="1" t="s">
        <v>2863</v>
      </c>
      <c r="H1449" s="1" t="s">
        <v>15</v>
      </c>
      <c r="I1449" s="3" t="str">
        <f>"5"</f>
        <v>5</v>
      </c>
      <c r="J1449" s="3">
        <v>65.52</v>
      </c>
      <c r="K1449" s="2">
        <v>45882</v>
      </c>
      <c r="L1449" s="2">
        <v>45895</v>
      </c>
      <c r="M1449" s="1" t="s">
        <v>7504</v>
      </c>
      <c r="N1449" s="1" t="s">
        <v>4343</v>
      </c>
    </row>
    <row r="1450" spans="1:14" x14ac:dyDescent="0.35">
      <c r="A1450" s="1" t="s">
        <v>4321</v>
      </c>
      <c r="B1450" s="3" t="s">
        <v>1407</v>
      </c>
      <c r="C1450" s="1" t="s">
        <v>1420</v>
      </c>
      <c r="D1450" s="1" t="s">
        <v>7507</v>
      </c>
      <c r="E1450" s="1" t="str">
        <f>"8405"</f>
        <v>8405</v>
      </c>
      <c r="F1450" s="1" t="str">
        <f>"015472555"</f>
        <v>015472555</v>
      </c>
      <c r="G1450" s="1" t="s">
        <v>2863</v>
      </c>
      <c r="H1450" s="1" t="s">
        <v>15</v>
      </c>
      <c r="I1450" s="3" t="str">
        <f>"5"</f>
        <v>5</v>
      </c>
      <c r="J1450" s="3">
        <v>65.52</v>
      </c>
      <c r="K1450" s="2">
        <v>45882</v>
      </c>
      <c r="L1450" s="2">
        <v>45895</v>
      </c>
      <c r="M1450" s="1" t="s">
        <v>7504</v>
      </c>
      <c r="N1450" s="1" t="s">
        <v>4343</v>
      </c>
    </row>
    <row r="1451" spans="1:14" x14ac:dyDescent="0.35">
      <c r="A1451" s="1" t="s">
        <v>4321</v>
      </c>
      <c r="B1451" s="3" t="s">
        <v>1407</v>
      </c>
      <c r="C1451" s="1" t="s">
        <v>1420</v>
      </c>
      <c r="D1451" s="1" t="s">
        <v>7506</v>
      </c>
      <c r="E1451" s="1" t="str">
        <f>"8405"</f>
        <v>8405</v>
      </c>
      <c r="F1451" s="1" t="str">
        <f>"015472555"</f>
        <v>015472555</v>
      </c>
      <c r="G1451" s="1" t="s">
        <v>2863</v>
      </c>
      <c r="H1451" s="1" t="s">
        <v>15</v>
      </c>
      <c r="I1451" s="3" t="str">
        <f>"10"</f>
        <v>10</v>
      </c>
      <c r="J1451" s="3">
        <v>65.52</v>
      </c>
      <c r="K1451" s="2">
        <v>45882</v>
      </c>
      <c r="L1451" s="2">
        <v>45895</v>
      </c>
      <c r="M1451" s="1" t="s">
        <v>7504</v>
      </c>
      <c r="N1451" s="1" t="s">
        <v>4343</v>
      </c>
    </row>
    <row r="1452" spans="1:14" x14ac:dyDescent="0.35">
      <c r="A1452" s="1" t="s">
        <v>4321</v>
      </c>
      <c r="B1452" s="3" t="s">
        <v>1407</v>
      </c>
      <c r="C1452" s="1" t="s">
        <v>1420</v>
      </c>
      <c r="D1452" s="1" t="s">
        <v>7505</v>
      </c>
      <c r="E1452" s="1" t="str">
        <f>"8405"</f>
        <v>8405</v>
      </c>
      <c r="F1452" s="1" t="str">
        <f>"015472555"</f>
        <v>015472555</v>
      </c>
      <c r="G1452" s="1" t="s">
        <v>2863</v>
      </c>
      <c r="H1452" s="1" t="s">
        <v>15</v>
      </c>
      <c r="I1452" s="3" t="str">
        <f>"3"</f>
        <v>3</v>
      </c>
      <c r="J1452" s="3">
        <v>65.52</v>
      </c>
      <c r="K1452" s="2">
        <v>45882</v>
      </c>
      <c r="L1452" s="2">
        <v>45895</v>
      </c>
      <c r="M1452" s="1" t="s">
        <v>7504</v>
      </c>
      <c r="N1452" s="1" t="s">
        <v>4343</v>
      </c>
    </row>
    <row r="1453" spans="1:14" x14ac:dyDescent="0.35">
      <c r="A1453" s="1" t="s">
        <v>4321</v>
      </c>
      <c r="B1453" s="3" t="s">
        <v>1407</v>
      </c>
      <c r="C1453" s="1" t="s">
        <v>1420</v>
      </c>
      <c r="D1453" s="1" t="s">
        <v>7503</v>
      </c>
      <c r="E1453" s="1" t="str">
        <f>"8415"</f>
        <v>8415</v>
      </c>
      <c r="F1453" s="1" t="str">
        <f>"015801355"</f>
        <v>015801355</v>
      </c>
      <c r="G1453" s="1" t="s">
        <v>839</v>
      </c>
      <c r="H1453" s="1" t="s">
        <v>15</v>
      </c>
      <c r="I1453" s="3" t="str">
        <f>"6"</f>
        <v>6</v>
      </c>
      <c r="J1453" s="3">
        <v>81.66</v>
      </c>
      <c r="K1453" s="2">
        <v>45882</v>
      </c>
      <c r="L1453" s="2">
        <v>45895</v>
      </c>
      <c r="M1453" s="1" t="s">
        <v>7502</v>
      </c>
      <c r="N1453" s="1" t="s">
        <v>4343</v>
      </c>
    </row>
    <row r="1454" spans="1:14" x14ac:dyDescent="0.35">
      <c r="A1454" s="1" t="s">
        <v>4321</v>
      </c>
      <c r="B1454" s="3" t="s">
        <v>1407</v>
      </c>
      <c r="C1454" s="1" t="s">
        <v>1420</v>
      </c>
      <c r="D1454" s="1" t="s">
        <v>7501</v>
      </c>
      <c r="E1454" s="1" t="str">
        <f>"8415"</f>
        <v>8415</v>
      </c>
      <c r="F1454" s="1" t="str">
        <f>"015801366"</f>
        <v>015801366</v>
      </c>
      <c r="G1454" s="1" t="s">
        <v>839</v>
      </c>
      <c r="H1454" s="1" t="s">
        <v>15</v>
      </c>
      <c r="I1454" s="3" t="str">
        <f>"2"</f>
        <v>2</v>
      </c>
      <c r="J1454" s="3">
        <v>81.66</v>
      </c>
      <c r="K1454" s="2">
        <v>45882</v>
      </c>
      <c r="L1454" s="2">
        <v>45895</v>
      </c>
      <c r="M1454" s="1" t="s">
        <v>7500</v>
      </c>
      <c r="N1454" s="1" t="s">
        <v>4343</v>
      </c>
    </row>
    <row r="1455" spans="1:14" x14ac:dyDescent="0.35">
      <c r="A1455" s="1" t="s">
        <v>4321</v>
      </c>
      <c r="B1455" s="3" t="s">
        <v>3105</v>
      </c>
      <c r="C1455" s="1" t="s">
        <v>4877</v>
      </c>
      <c r="D1455" s="1" t="s">
        <v>7499</v>
      </c>
      <c r="E1455" s="1" t="str">
        <f>"7110"</f>
        <v>7110</v>
      </c>
      <c r="F1455" s="1" t="s">
        <v>7498</v>
      </c>
      <c r="G1455" s="1" t="s">
        <v>7497</v>
      </c>
      <c r="H1455" s="1" t="s">
        <v>15</v>
      </c>
      <c r="I1455" s="3" t="str">
        <f>"1"</f>
        <v>1</v>
      </c>
      <c r="J1455" s="3" t="str">
        <f>"100"</f>
        <v>100</v>
      </c>
      <c r="K1455" s="2">
        <v>45878</v>
      </c>
      <c r="L1455" s="2">
        <v>45895</v>
      </c>
      <c r="M1455" s="1" t="s">
        <v>7496</v>
      </c>
      <c r="N1455" s="1" t="s">
        <v>7495</v>
      </c>
    </row>
    <row r="1456" spans="1:14" x14ac:dyDescent="0.35">
      <c r="A1456" s="1" t="s">
        <v>4321</v>
      </c>
      <c r="B1456" s="3" t="s">
        <v>4253</v>
      </c>
      <c r="C1456" s="1" t="s">
        <v>4254</v>
      </c>
      <c r="D1456" s="1" t="s">
        <v>7494</v>
      </c>
      <c r="E1456" s="1" t="str">
        <f>"2320"</f>
        <v>2320</v>
      </c>
      <c r="F1456" s="1" t="str">
        <f>"005401428"</f>
        <v>005401428</v>
      </c>
      <c r="G1456" s="1" t="s">
        <v>373</v>
      </c>
      <c r="H1456" s="1" t="s">
        <v>15</v>
      </c>
      <c r="I1456" s="3" t="str">
        <f>"1"</f>
        <v>1</v>
      </c>
      <c r="J1456" s="3" t="str">
        <f>"13334"</f>
        <v>13334</v>
      </c>
      <c r="K1456" s="2">
        <v>45871</v>
      </c>
      <c r="L1456" s="2">
        <v>45895</v>
      </c>
      <c r="M1456" s="1" t="s">
        <v>5241</v>
      </c>
      <c r="N1456" s="1" t="s">
        <v>7493</v>
      </c>
    </row>
    <row r="1457" spans="1:14" x14ac:dyDescent="0.35">
      <c r="A1457" s="1" t="s">
        <v>4321</v>
      </c>
      <c r="B1457" s="3" t="s">
        <v>4253</v>
      </c>
      <c r="C1457" s="1" t="s">
        <v>4254</v>
      </c>
      <c r="D1457" s="1" t="s">
        <v>7492</v>
      </c>
      <c r="E1457" s="1" t="str">
        <f>"2320"</f>
        <v>2320</v>
      </c>
      <c r="F1457" s="1" t="str">
        <f>"012157631"</f>
        <v>012157631</v>
      </c>
      <c r="G1457" s="1" t="s">
        <v>117</v>
      </c>
      <c r="H1457" s="1" t="s">
        <v>15</v>
      </c>
      <c r="I1457" s="3" t="str">
        <f>"1"</f>
        <v>1</v>
      </c>
      <c r="J1457" s="3" t="str">
        <f>"33082"</f>
        <v>33082</v>
      </c>
      <c r="K1457" s="2">
        <v>45871</v>
      </c>
      <c r="L1457" s="2">
        <v>45895</v>
      </c>
      <c r="M1457" s="1" t="s">
        <v>5241</v>
      </c>
      <c r="N1457" s="1" t="s">
        <v>7491</v>
      </c>
    </row>
    <row r="1458" spans="1:14" x14ac:dyDescent="0.35">
      <c r="A1458" s="1" t="s">
        <v>4321</v>
      </c>
      <c r="B1458" s="3" t="s">
        <v>1407</v>
      </c>
      <c r="C1458" s="1" t="s">
        <v>1408</v>
      </c>
      <c r="D1458" s="1" t="s">
        <v>7490</v>
      </c>
      <c r="E1458" s="1" t="str">
        <f>"6530"</f>
        <v>6530</v>
      </c>
      <c r="F1458" s="1" t="s">
        <v>25</v>
      </c>
      <c r="G1458" s="1" t="s">
        <v>26</v>
      </c>
      <c r="H1458" s="1" t="s">
        <v>15</v>
      </c>
      <c r="I1458" s="3" t="str">
        <f>"10"</f>
        <v>10</v>
      </c>
      <c r="J1458" s="3" t="str">
        <f>"1200"</f>
        <v>1200</v>
      </c>
      <c r="K1458" s="2">
        <v>45868</v>
      </c>
      <c r="L1458" s="2">
        <v>45895</v>
      </c>
      <c r="M1458" s="1" t="s">
        <v>7489</v>
      </c>
      <c r="N1458" s="1" t="s">
        <v>7488</v>
      </c>
    </row>
    <row r="1459" spans="1:14" x14ac:dyDescent="0.35">
      <c r="A1459" s="1" t="s">
        <v>4321</v>
      </c>
      <c r="B1459" s="3" t="s">
        <v>93</v>
      </c>
      <c r="C1459" s="1" t="s">
        <v>369</v>
      </c>
      <c r="D1459" s="1" t="s">
        <v>7487</v>
      </c>
      <c r="E1459" s="1" t="str">
        <f>"2320"</f>
        <v>2320</v>
      </c>
      <c r="F1459" s="1" t="s">
        <v>274</v>
      </c>
      <c r="G1459" s="1" t="s">
        <v>275</v>
      </c>
      <c r="H1459" s="1" t="s">
        <v>15</v>
      </c>
      <c r="I1459" s="3" t="str">
        <f>"1"</f>
        <v>1</v>
      </c>
      <c r="J1459" s="3" t="str">
        <f>"5000"</f>
        <v>5000</v>
      </c>
      <c r="K1459" s="2">
        <v>45866</v>
      </c>
      <c r="L1459" s="2">
        <v>45895</v>
      </c>
      <c r="M1459" s="1" t="s">
        <v>7486</v>
      </c>
      <c r="N1459" s="1" t="s">
        <v>7485</v>
      </c>
    </row>
    <row r="1460" spans="1:14" x14ac:dyDescent="0.35">
      <c r="A1460" s="1" t="s">
        <v>4321</v>
      </c>
      <c r="B1460" s="3" t="s">
        <v>2987</v>
      </c>
      <c r="C1460" s="1" t="s">
        <v>3065</v>
      </c>
      <c r="D1460" s="1" t="s">
        <v>7484</v>
      </c>
      <c r="E1460" s="1" t="str">
        <f>"4240"</f>
        <v>4240</v>
      </c>
      <c r="F1460" s="1" t="str">
        <f>"015439618"</f>
        <v>015439618</v>
      </c>
      <c r="G1460" s="1" t="s">
        <v>256</v>
      </c>
      <c r="H1460" s="1" t="s">
        <v>15</v>
      </c>
      <c r="I1460" s="3" t="str">
        <f>"150"</f>
        <v>150</v>
      </c>
      <c r="J1460" s="3">
        <v>28.63</v>
      </c>
      <c r="K1460" s="2">
        <v>45855</v>
      </c>
      <c r="L1460" s="2">
        <v>45895</v>
      </c>
      <c r="M1460" s="1" t="s">
        <v>7483</v>
      </c>
      <c r="N1460" s="1" t="s">
        <v>7482</v>
      </c>
    </row>
    <row r="1461" spans="1:14" x14ac:dyDescent="0.35">
      <c r="A1461" s="1" t="s">
        <v>4321</v>
      </c>
      <c r="B1461" s="3" t="s">
        <v>93</v>
      </c>
      <c r="C1461" s="1" t="s">
        <v>408</v>
      </c>
      <c r="D1461" s="1" t="s">
        <v>7481</v>
      </c>
      <c r="E1461" s="1" t="str">
        <f>"4910"</f>
        <v>4910</v>
      </c>
      <c r="F1461" s="1" t="str">
        <f>"005165806"</f>
        <v>005165806</v>
      </c>
      <c r="G1461" s="1" t="s">
        <v>7480</v>
      </c>
      <c r="H1461" s="1" t="s">
        <v>15</v>
      </c>
      <c r="I1461" s="3" t="str">
        <f>"1"</f>
        <v>1</v>
      </c>
      <c r="J1461" s="3" t="str">
        <f>"3317"</f>
        <v>3317</v>
      </c>
      <c r="K1461" s="2">
        <v>45892</v>
      </c>
      <c r="L1461" s="2">
        <v>45894</v>
      </c>
      <c r="M1461" s="1" t="s">
        <v>7479</v>
      </c>
      <c r="N1461" s="1" t="s">
        <v>4343</v>
      </c>
    </row>
    <row r="1462" spans="1:14" x14ac:dyDescent="0.35">
      <c r="A1462" s="1" t="s">
        <v>4321</v>
      </c>
      <c r="B1462" s="3" t="s">
        <v>2720</v>
      </c>
      <c r="C1462" s="1" t="s">
        <v>2779</v>
      </c>
      <c r="D1462" s="1" t="s">
        <v>7478</v>
      </c>
      <c r="E1462" s="1" t="str">
        <f>"6545"</f>
        <v>6545</v>
      </c>
      <c r="F1462" s="1" t="s">
        <v>6588</v>
      </c>
      <c r="G1462" s="1" t="s">
        <v>6587</v>
      </c>
      <c r="H1462" s="1" t="s">
        <v>15</v>
      </c>
      <c r="I1462" s="3" t="str">
        <f>"15"</f>
        <v>15</v>
      </c>
      <c r="J1462" s="3">
        <v>109.73</v>
      </c>
      <c r="K1462" s="2">
        <v>45889</v>
      </c>
      <c r="L1462" s="2">
        <v>45894</v>
      </c>
      <c r="M1462" s="1" t="s">
        <v>7477</v>
      </c>
      <c r="N1462" s="1" t="s">
        <v>7476</v>
      </c>
    </row>
    <row r="1463" spans="1:14" x14ac:dyDescent="0.35">
      <c r="A1463" s="1" t="s">
        <v>4321</v>
      </c>
      <c r="B1463" s="3" t="s">
        <v>4087</v>
      </c>
      <c r="C1463" s="1" t="s">
        <v>4143</v>
      </c>
      <c r="D1463" s="1" t="s">
        <v>7475</v>
      </c>
      <c r="E1463" s="1" t="str">
        <f>"1240"</f>
        <v>1240</v>
      </c>
      <c r="F1463" s="1" t="s">
        <v>1461</v>
      </c>
      <c r="G1463" s="1" t="s">
        <v>1462</v>
      </c>
      <c r="H1463" s="1" t="s">
        <v>15</v>
      </c>
      <c r="I1463" s="3" t="str">
        <f>"2"</f>
        <v>2</v>
      </c>
      <c r="J1463" s="3" t="str">
        <f>"1300"</f>
        <v>1300</v>
      </c>
      <c r="K1463" s="2">
        <v>45889</v>
      </c>
      <c r="L1463" s="2">
        <v>45894</v>
      </c>
      <c r="M1463" s="1" t="s">
        <v>7474</v>
      </c>
      <c r="N1463" s="1" t="s">
        <v>7473</v>
      </c>
    </row>
    <row r="1464" spans="1:14" x14ac:dyDescent="0.35">
      <c r="A1464" s="1" t="s">
        <v>4321</v>
      </c>
      <c r="B1464" s="3" t="s">
        <v>2248</v>
      </c>
      <c r="C1464" s="1" t="s">
        <v>2414</v>
      </c>
      <c r="D1464" s="1" t="s">
        <v>7472</v>
      </c>
      <c r="E1464" s="1" t="str">
        <f>"1240"</f>
        <v>1240</v>
      </c>
      <c r="F1464" s="1" t="s">
        <v>1461</v>
      </c>
      <c r="G1464" s="1" t="s">
        <v>1462</v>
      </c>
      <c r="H1464" s="1" t="s">
        <v>15</v>
      </c>
      <c r="I1464" s="3" t="str">
        <f>"1"</f>
        <v>1</v>
      </c>
      <c r="J1464" s="3" t="str">
        <f>"1300"</f>
        <v>1300</v>
      </c>
      <c r="K1464" s="2">
        <v>45889</v>
      </c>
      <c r="L1464" s="2">
        <v>45894</v>
      </c>
      <c r="M1464" s="1" t="s">
        <v>7471</v>
      </c>
      <c r="N1464" s="1" t="s">
        <v>7470</v>
      </c>
    </row>
    <row r="1465" spans="1:14" x14ac:dyDescent="0.35">
      <c r="A1465" s="1" t="s">
        <v>4321</v>
      </c>
      <c r="B1465" s="3" t="s">
        <v>3885</v>
      </c>
      <c r="C1465" s="1" t="s">
        <v>3886</v>
      </c>
      <c r="D1465" s="1" t="s">
        <v>7469</v>
      </c>
      <c r="E1465" s="1" t="str">
        <f>"1240"</f>
        <v>1240</v>
      </c>
      <c r="F1465" s="1" t="s">
        <v>1461</v>
      </c>
      <c r="G1465" s="1" t="s">
        <v>1462</v>
      </c>
      <c r="H1465" s="1" t="s">
        <v>15</v>
      </c>
      <c r="I1465" s="3" t="str">
        <f>"2"</f>
        <v>2</v>
      </c>
      <c r="J1465" s="3" t="str">
        <f>"1300"</f>
        <v>1300</v>
      </c>
      <c r="K1465" s="2">
        <v>45888</v>
      </c>
      <c r="L1465" s="2">
        <v>45894</v>
      </c>
      <c r="M1465" s="1" t="s">
        <v>7468</v>
      </c>
      <c r="N1465" s="1" t="s">
        <v>7467</v>
      </c>
    </row>
    <row r="1466" spans="1:14" x14ac:dyDescent="0.35">
      <c r="A1466" s="1" t="s">
        <v>4321</v>
      </c>
      <c r="B1466" s="3" t="s">
        <v>2720</v>
      </c>
      <c r="C1466" s="1" t="s">
        <v>2842</v>
      </c>
      <c r="D1466" s="1" t="s">
        <v>7466</v>
      </c>
      <c r="E1466" s="1" t="str">
        <f>"2320"</f>
        <v>2320</v>
      </c>
      <c r="F1466" s="1" t="str">
        <f>"009263656"</f>
        <v>009263656</v>
      </c>
      <c r="G1466" s="1" t="s">
        <v>373</v>
      </c>
      <c r="H1466" s="1" t="s">
        <v>15</v>
      </c>
      <c r="I1466" s="3" t="str">
        <f>"1"</f>
        <v>1</v>
      </c>
      <c r="J1466" s="3" t="str">
        <f>"4169"</f>
        <v>4169</v>
      </c>
      <c r="K1466" s="2">
        <v>45874</v>
      </c>
      <c r="L1466" s="2">
        <v>45894</v>
      </c>
      <c r="M1466" s="1" t="s">
        <v>7465</v>
      </c>
      <c r="N1466" s="1" t="s">
        <v>7464</v>
      </c>
    </row>
    <row r="1467" spans="1:14" x14ac:dyDescent="0.35">
      <c r="A1467" s="1" t="s">
        <v>4321</v>
      </c>
      <c r="B1467" s="3" t="s">
        <v>3183</v>
      </c>
      <c r="C1467" s="1" t="s">
        <v>5447</v>
      </c>
      <c r="D1467" s="1" t="s">
        <v>7463</v>
      </c>
      <c r="E1467" s="1" t="str">
        <f>"2310"</f>
        <v>2310</v>
      </c>
      <c r="F1467" s="1" t="s">
        <v>5555</v>
      </c>
      <c r="G1467" s="1" t="s">
        <v>5554</v>
      </c>
      <c r="H1467" s="1" t="s">
        <v>15</v>
      </c>
      <c r="I1467" s="3" t="str">
        <f>"1"</f>
        <v>1</v>
      </c>
      <c r="J1467" s="3" t="str">
        <f>"15000"</f>
        <v>15000</v>
      </c>
      <c r="K1467" s="2">
        <v>45873</v>
      </c>
      <c r="L1467" s="2">
        <v>45894</v>
      </c>
      <c r="M1467" s="1" t="s">
        <v>7462</v>
      </c>
      <c r="N1467" s="1" t="s">
        <v>7461</v>
      </c>
    </row>
    <row r="1468" spans="1:14" x14ac:dyDescent="0.35">
      <c r="A1468" s="1" t="s">
        <v>4321</v>
      </c>
      <c r="B1468" s="3" t="s">
        <v>3183</v>
      </c>
      <c r="C1468" s="1" t="s">
        <v>3364</v>
      </c>
      <c r="D1468" s="1" t="s">
        <v>7460</v>
      </c>
      <c r="E1468" s="1" t="str">
        <f>"1005"</f>
        <v>1005</v>
      </c>
      <c r="F1468" s="1" t="str">
        <f>"014523527"</f>
        <v>014523527</v>
      </c>
      <c r="G1468" s="1" t="s">
        <v>1865</v>
      </c>
      <c r="H1468" s="1" t="s">
        <v>15</v>
      </c>
      <c r="I1468" s="3" t="str">
        <f>"13"</f>
        <v>13</v>
      </c>
      <c r="J1468" s="3">
        <v>93.8</v>
      </c>
      <c r="K1468" s="2">
        <v>45870</v>
      </c>
      <c r="L1468" s="2">
        <v>45894</v>
      </c>
      <c r="M1468" s="1" t="s">
        <v>7459</v>
      </c>
      <c r="N1468" s="1" t="s">
        <v>7458</v>
      </c>
    </row>
    <row r="1469" spans="1:14" x14ac:dyDescent="0.35">
      <c r="A1469" s="1" t="s">
        <v>4321</v>
      </c>
      <c r="B1469" s="3" t="s">
        <v>2444</v>
      </c>
      <c r="C1469" s="1" t="s">
        <v>2445</v>
      </c>
      <c r="D1469" s="1" t="s">
        <v>7457</v>
      </c>
      <c r="E1469" s="1" t="str">
        <f>"6230"</f>
        <v>6230</v>
      </c>
      <c r="F1469" s="1" t="s">
        <v>178</v>
      </c>
      <c r="G1469" s="1" t="s">
        <v>179</v>
      </c>
      <c r="H1469" s="1" t="s">
        <v>15</v>
      </c>
      <c r="I1469" s="3" t="str">
        <f>"1"</f>
        <v>1</v>
      </c>
      <c r="J1469" s="3">
        <v>144.26</v>
      </c>
      <c r="K1469" s="2">
        <v>45867</v>
      </c>
      <c r="L1469" s="2">
        <v>45894</v>
      </c>
      <c r="M1469" s="1" t="s">
        <v>6030</v>
      </c>
      <c r="N1469" s="1" t="s">
        <v>7456</v>
      </c>
    </row>
    <row r="1470" spans="1:14" x14ac:dyDescent="0.35">
      <c r="A1470" s="1" t="s">
        <v>4321</v>
      </c>
      <c r="B1470" s="3" t="s">
        <v>3183</v>
      </c>
      <c r="C1470" s="1" t="s">
        <v>3352</v>
      </c>
      <c r="D1470" s="1" t="s">
        <v>7455</v>
      </c>
      <c r="E1470" s="1" t="str">
        <f>"3920"</f>
        <v>3920</v>
      </c>
      <c r="F1470" s="1" t="s">
        <v>2723</v>
      </c>
      <c r="G1470" s="1" t="s">
        <v>2724</v>
      </c>
      <c r="H1470" s="1" t="s">
        <v>15</v>
      </c>
      <c r="I1470" s="3" t="str">
        <f>"1"</f>
        <v>1</v>
      </c>
      <c r="J1470" s="3" t="str">
        <f>"10000"</f>
        <v>10000</v>
      </c>
      <c r="K1470" s="2">
        <v>45867</v>
      </c>
      <c r="L1470" s="2">
        <v>45894</v>
      </c>
      <c r="M1470" s="1" t="s">
        <v>7454</v>
      </c>
      <c r="N1470" s="1" t="s">
        <v>7453</v>
      </c>
    </row>
    <row r="1471" spans="1:14" x14ac:dyDescent="0.35">
      <c r="A1471" s="1" t="s">
        <v>4321</v>
      </c>
      <c r="B1471" s="3" t="s">
        <v>3183</v>
      </c>
      <c r="C1471" s="1" t="s">
        <v>3435</v>
      </c>
      <c r="D1471" s="1" t="s">
        <v>7452</v>
      </c>
      <c r="E1471" s="1" t="str">
        <f>"5411"</f>
        <v>5411</v>
      </c>
      <c r="F1471" s="1" t="str">
        <f>"014735051"</f>
        <v>014735051</v>
      </c>
      <c r="G1471" s="1" t="s">
        <v>7451</v>
      </c>
      <c r="H1471" s="1" t="s">
        <v>15</v>
      </c>
      <c r="I1471" s="3" t="str">
        <f>"1"</f>
        <v>1</v>
      </c>
      <c r="J1471" s="3" t="str">
        <f>"24032"</f>
        <v>24032</v>
      </c>
      <c r="K1471" s="2">
        <v>45867</v>
      </c>
      <c r="L1471" s="2">
        <v>45894</v>
      </c>
      <c r="M1471" s="1" t="s">
        <v>7450</v>
      </c>
      <c r="N1471" s="1" t="s">
        <v>7449</v>
      </c>
    </row>
    <row r="1472" spans="1:14" x14ac:dyDescent="0.35">
      <c r="A1472" s="1" t="s">
        <v>4321</v>
      </c>
      <c r="B1472" s="3" t="s">
        <v>3513</v>
      </c>
      <c r="C1472" s="1" t="s">
        <v>3514</v>
      </c>
      <c r="D1472" s="1" t="s">
        <v>7448</v>
      </c>
      <c r="E1472" s="1" t="str">
        <f>"7830"</f>
        <v>7830</v>
      </c>
      <c r="F1472" s="1" t="s">
        <v>89</v>
      </c>
      <c r="G1472" s="1" t="s">
        <v>90</v>
      </c>
      <c r="H1472" s="1" t="s">
        <v>15</v>
      </c>
      <c r="I1472" s="3" t="str">
        <f>"2"</f>
        <v>2</v>
      </c>
      <c r="J1472" s="3" t="str">
        <f>"100"</f>
        <v>100</v>
      </c>
      <c r="K1472" s="2">
        <v>45864</v>
      </c>
      <c r="L1472" s="2">
        <v>45894</v>
      </c>
      <c r="M1472" s="1" t="s">
        <v>7447</v>
      </c>
      <c r="N1472" s="1" t="s">
        <v>7446</v>
      </c>
    </row>
    <row r="1473" spans="1:14" x14ac:dyDescent="0.35">
      <c r="A1473" s="1" t="s">
        <v>4321</v>
      </c>
      <c r="B1473" s="3" t="s">
        <v>3183</v>
      </c>
      <c r="C1473" s="1" t="s">
        <v>3334</v>
      </c>
      <c r="D1473" s="1" t="s">
        <v>7445</v>
      </c>
      <c r="E1473" s="1" t="str">
        <f>"1385"</f>
        <v>1385</v>
      </c>
      <c r="F1473" s="1" t="str">
        <f>"015936219"</f>
        <v>015936219</v>
      </c>
      <c r="G1473" s="1" t="s">
        <v>67</v>
      </c>
      <c r="H1473" s="1" t="s">
        <v>15</v>
      </c>
      <c r="I1473" s="3" t="str">
        <f>"1"</f>
        <v>1</v>
      </c>
      <c r="J1473" s="3" t="str">
        <f>"77000"</f>
        <v>77000</v>
      </c>
      <c r="K1473" s="2">
        <v>45854</v>
      </c>
      <c r="L1473" s="2">
        <v>45894</v>
      </c>
      <c r="M1473" s="1" t="s">
        <v>7444</v>
      </c>
      <c r="N1473" s="1" t="s">
        <v>7443</v>
      </c>
    </row>
    <row r="1474" spans="1:14" x14ac:dyDescent="0.35">
      <c r="A1474" s="1" t="s">
        <v>4321</v>
      </c>
      <c r="B1474" s="3" t="s">
        <v>2638</v>
      </c>
      <c r="C1474" s="1" t="s">
        <v>2713</v>
      </c>
      <c r="D1474" s="1" t="s">
        <v>7442</v>
      </c>
      <c r="E1474" s="1" t="str">
        <f>"8465"</f>
        <v>8465</v>
      </c>
      <c r="F1474" s="1" t="str">
        <f>"015245285"</f>
        <v>015245285</v>
      </c>
      <c r="G1474" s="1" t="s">
        <v>7441</v>
      </c>
      <c r="H1474" s="1" t="s">
        <v>15</v>
      </c>
      <c r="I1474" s="3" t="str">
        <f>"3"</f>
        <v>3</v>
      </c>
      <c r="J1474" s="3">
        <v>84.22</v>
      </c>
      <c r="K1474" s="2">
        <v>45891</v>
      </c>
      <c r="L1474" s="2">
        <v>45892</v>
      </c>
      <c r="M1474" s="1" t="s">
        <v>7440</v>
      </c>
      <c r="N1474" s="1" t="s">
        <v>4343</v>
      </c>
    </row>
    <row r="1475" spans="1:14" x14ac:dyDescent="0.35">
      <c r="A1475" s="1" t="s">
        <v>4321</v>
      </c>
      <c r="B1475" s="3" t="s">
        <v>2248</v>
      </c>
      <c r="C1475" s="1" t="s">
        <v>2414</v>
      </c>
      <c r="D1475" s="1" t="s">
        <v>7439</v>
      </c>
      <c r="E1475" s="1" t="str">
        <f>"1550"</f>
        <v>1550</v>
      </c>
      <c r="F1475" s="1" t="str">
        <f>"015389256"</f>
        <v>015389256</v>
      </c>
      <c r="G1475" s="1" t="s">
        <v>2416</v>
      </c>
      <c r="H1475" s="1" t="s">
        <v>15</v>
      </c>
      <c r="I1475" s="3" t="str">
        <f>"1"</f>
        <v>1</v>
      </c>
      <c r="J1475" s="3" t="str">
        <f>"100000"</f>
        <v>100000</v>
      </c>
      <c r="K1475" s="2">
        <v>45889</v>
      </c>
      <c r="L1475" s="2">
        <v>45892</v>
      </c>
      <c r="M1475" s="1" t="s">
        <v>2417</v>
      </c>
      <c r="N1475" s="1" t="s">
        <v>7438</v>
      </c>
    </row>
    <row r="1476" spans="1:14" x14ac:dyDescent="0.35">
      <c r="A1476" s="1" t="s">
        <v>4321</v>
      </c>
      <c r="B1476" s="3" t="s">
        <v>3513</v>
      </c>
      <c r="C1476" s="1" t="s">
        <v>3637</v>
      </c>
      <c r="D1476" s="1" t="s">
        <v>7437</v>
      </c>
      <c r="E1476" s="1" t="str">
        <f>"8140"</f>
        <v>8140</v>
      </c>
      <c r="F1476" s="1" t="str">
        <f>"009601699"</f>
        <v>009601699</v>
      </c>
      <c r="G1476" s="1" t="s">
        <v>1599</v>
      </c>
      <c r="H1476" s="1" t="s">
        <v>15</v>
      </c>
      <c r="I1476" s="3" t="str">
        <f>"120"</f>
        <v>120</v>
      </c>
      <c r="J1476" s="3">
        <v>11.1</v>
      </c>
      <c r="K1476" s="2">
        <v>45888</v>
      </c>
      <c r="L1476" s="2">
        <v>45892</v>
      </c>
      <c r="M1476" s="1" t="s">
        <v>3645</v>
      </c>
      <c r="N1476" s="1" t="s">
        <v>7436</v>
      </c>
    </row>
    <row r="1477" spans="1:14" x14ac:dyDescent="0.35">
      <c r="A1477" s="1" t="s">
        <v>4321</v>
      </c>
      <c r="B1477" s="3" t="s">
        <v>806</v>
      </c>
      <c r="C1477" s="1" t="s">
        <v>866</v>
      </c>
      <c r="D1477" s="1" t="s">
        <v>7435</v>
      </c>
      <c r="E1477" s="1" t="str">
        <f>"6230"</f>
        <v>6230</v>
      </c>
      <c r="F1477" s="1" t="str">
        <f>"011525952"</f>
        <v>011525952</v>
      </c>
      <c r="G1477" s="1" t="s">
        <v>538</v>
      </c>
      <c r="H1477" s="1" t="s">
        <v>15</v>
      </c>
      <c r="I1477" s="3" t="str">
        <f>"32"</f>
        <v>32</v>
      </c>
      <c r="J1477" s="3">
        <v>156.09</v>
      </c>
      <c r="K1477" s="2">
        <v>45887</v>
      </c>
      <c r="L1477" s="2">
        <v>45892</v>
      </c>
      <c r="M1477" s="1" t="s">
        <v>7434</v>
      </c>
      <c r="N1477" s="1" t="s">
        <v>4343</v>
      </c>
    </row>
    <row r="1478" spans="1:14" x14ac:dyDescent="0.35">
      <c r="A1478" s="1" t="s">
        <v>4321</v>
      </c>
      <c r="B1478" s="3" t="s">
        <v>691</v>
      </c>
      <c r="C1478" s="1" t="s">
        <v>701</v>
      </c>
      <c r="D1478" s="1" t="s">
        <v>7433</v>
      </c>
      <c r="E1478" s="1" t="str">
        <f>"5855"</f>
        <v>5855</v>
      </c>
      <c r="F1478" s="1" t="str">
        <f>"015330555"</f>
        <v>015330555</v>
      </c>
      <c r="G1478" s="1" t="s">
        <v>2656</v>
      </c>
      <c r="H1478" s="1" t="s">
        <v>15</v>
      </c>
      <c r="I1478" s="3" t="str">
        <f>"6"</f>
        <v>6</v>
      </c>
      <c r="J1478" s="3" t="str">
        <f>"1800"</f>
        <v>1800</v>
      </c>
      <c r="K1478" s="2">
        <v>45886</v>
      </c>
      <c r="L1478" s="2">
        <v>45892</v>
      </c>
      <c r="M1478" s="1" t="s">
        <v>7432</v>
      </c>
      <c r="N1478" s="1" t="s">
        <v>7431</v>
      </c>
    </row>
    <row r="1479" spans="1:14" x14ac:dyDescent="0.35">
      <c r="A1479" s="1" t="s">
        <v>4321</v>
      </c>
      <c r="B1479" s="3" t="s">
        <v>3879</v>
      </c>
      <c r="C1479" s="1" t="s">
        <v>5072</v>
      </c>
      <c r="D1479" s="1" t="s">
        <v>7430</v>
      </c>
      <c r="E1479" s="1" t="str">
        <f>"5855"</f>
        <v>5855</v>
      </c>
      <c r="F1479" s="1" t="str">
        <f>"015936375"</f>
        <v>015936375</v>
      </c>
      <c r="G1479" s="1" t="s">
        <v>1904</v>
      </c>
      <c r="H1479" s="1" t="s">
        <v>15</v>
      </c>
      <c r="I1479" s="3" t="str">
        <f>"17"</f>
        <v>17</v>
      </c>
      <c r="J1479" s="3">
        <v>702.1</v>
      </c>
      <c r="K1479" s="2">
        <v>45885</v>
      </c>
      <c r="L1479" s="2">
        <v>45892</v>
      </c>
      <c r="M1479" s="1" t="s">
        <v>7427</v>
      </c>
      <c r="N1479" s="1" t="s">
        <v>7429</v>
      </c>
    </row>
    <row r="1480" spans="1:14" x14ac:dyDescent="0.35">
      <c r="A1480" s="1" t="s">
        <v>4321</v>
      </c>
      <c r="B1480" s="3" t="s">
        <v>3879</v>
      </c>
      <c r="C1480" s="1" t="s">
        <v>5072</v>
      </c>
      <c r="D1480" s="1" t="s">
        <v>7428</v>
      </c>
      <c r="E1480" s="1" t="str">
        <f>"5855"</f>
        <v>5855</v>
      </c>
      <c r="F1480" s="1" t="str">
        <f>"015330555"</f>
        <v>015330555</v>
      </c>
      <c r="G1480" s="1" t="s">
        <v>2656</v>
      </c>
      <c r="H1480" s="1" t="s">
        <v>15</v>
      </c>
      <c r="I1480" s="3" t="str">
        <f>"22"</f>
        <v>22</v>
      </c>
      <c r="J1480" s="3" t="str">
        <f>"1800"</f>
        <v>1800</v>
      </c>
      <c r="K1480" s="2">
        <v>45885</v>
      </c>
      <c r="L1480" s="2">
        <v>45892</v>
      </c>
      <c r="M1480" s="1" t="s">
        <v>7427</v>
      </c>
      <c r="N1480" s="1" t="s">
        <v>7426</v>
      </c>
    </row>
    <row r="1481" spans="1:14" x14ac:dyDescent="0.35">
      <c r="A1481" s="1" t="s">
        <v>4321</v>
      </c>
      <c r="B1481" s="3" t="s">
        <v>4087</v>
      </c>
      <c r="C1481" s="1" t="s">
        <v>4143</v>
      </c>
      <c r="D1481" s="1" t="s">
        <v>7425</v>
      </c>
      <c r="E1481" s="1" t="str">
        <f>"5965"</f>
        <v>5965</v>
      </c>
      <c r="F1481" s="1" t="str">
        <f>"226296584"</f>
        <v>226296584</v>
      </c>
      <c r="G1481" s="1" t="s">
        <v>1389</v>
      </c>
      <c r="H1481" s="1" t="s">
        <v>15</v>
      </c>
      <c r="I1481" s="3" t="str">
        <f>"15"</f>
        <v>15</v>
      </c>
      <c r="J1481" s="3">
        <v>1567.84</v>
      </c>
      <c r="K1481" s="2">
        <v>45883</v>
      </c>
      <c r="L1481" s="2">
        <v>45892</v>
      </c>
      <c r="M1481" s="1" t="s">
        <v>7424</v>
      </c>
      <c r="N1481" s="1" t="s">
        <v>7423</v>
      </c>
    </row>
    <row r="1482" spans="1:14" x14ac:dyDescent="0.35">
      <c r="A1482" s="1" t="s">
        <v>4321</v>
      </c>
      <c r="B1482" s="3" t="s">
        <v>4253</v>
      </c>
      <c r="C1482" s="1" t="s">
        <v>4276</v>
      </c>
      <c r="D1482" s="1" t="s">
        <v>7422</v>
      </c>
      <c r="E1482" s="1" t="str">
        <f>"6115"</f>
        <v>6115</v>
      </c>
      <c r="F1482" s="1" t="str">
        <f>"013037896"</f>
        <v>013037896</v>
      </c>
      <c r="G1482" s="1" t="s">
        <v>1838</v>
      </c>
      <c r="H1482" s="1" t="s">
        <v>15</v>
      </c>
      <c r="I1482" s="3" t="str">
        <f>"1"</f>
        <v>1</v>
      </c>
      <c r="J1482" s="3" t="str">
        <f>"70891"</f>
        <v>70891</v>
      </c>
      <c r="K1482" s="2">
        <v>45883</v>
      </c>
      <c r="L1482" s="2">
        <v>45892</v>
      </c>
      <c r="M1482" s="1" t="s">
        <v>7421</v>
      </c>
      <c r="N1482" s="1" t="s">
        <v>7420</v>
      </c>
    </row>
    <row r="1483" spans="1:14" x14ac:dyDescent="0.35">
      <c r="A1483" s="1" t="s">
        <v>4321</v>
      </c>
      <c r="B1483" s="3" t="s">
        <v>2000</v>
      </c>
      <c r="C1483" s="1" t="s">
        <v>2001</v>
      </c>
      <c r="D1483" s="1" t="s">
        <v>7419</v>
      </c>
      <c r="E1483" s="1" t="str">
        <f>"6115"</f>
        <v>6115</v>
      </c>
      <c r="F1483" s="1" t="str">
        <f>"013037896"</f>
        <v>013037896</v>
      </c>
      <c r="G1483" s="1" t="s">
        <v>1838</v>
      </c>
      <c r="H1483" s="1" t="s">
        <v>15</v>
      </c>
      <c r="I1483" s="3" t="str">
        <f>"1"</f>
        <v>1</v>
      </c>
      <c r="J1483" s="3" t="str">
        <f>"70891"</f>
        <v>70891</v>
      </c>
      <c r="K1483" s="2">
        <v>45882</v>
      </c>
      <c r="L1483" s="2">
        <v>45892</v>
      </c>
      <c r="M1483" s="1" t="s">
        <v>7418</v>
      </c>
      <c r="N1483" s="1" t="s">
        <v>7417</v>
      </c>
    </row>
    <row r="1484" spans="1:14" x14ac:dyDescent="0.35">
      <c r="A1484" s="1" t="s">
        <v>4321</v>
      </c>
      <c r="B1484" s="3" t="s">
        <v>3183</v>
      </c>
      <c r="C1484" s="1" t="s">
        <v>3297</v>
      </c>
      <c r="D1484" s="1" t="s">
        <v>7416</v>
      </c>
      <c r="E1484" s="1" t="str">
        <f>"2320"</f>
        <v>2320</v>
      </c>
      <c r="F1484" s="1" t="str">
        <f>"012802063"</f>
        <v>012802063</v>
      </c>
      <c r="G1484" s="1" t="s">
        <v>114</v>
      </c>
      <c r="H1484" s="1" t="s">
        <v>15</v>
      </c>
      <c r="I1484" s="3" t="str">
        <f>"1"</f>
        <v>1</v>
      </c>
      <c r="J1484" s="3" t="str">
        <f>"38530"</f>
        <v>38530</v>
      </c>
      <c r="K1484" s="2">
        <v>45881</v>
      </c>
      <c r="L1484" s="2">
        <v>45892</v>
      </c>
      <c r="M1484" s="1" t="s">
        <v>3299</v>
      </c>
      <c r="N1484" s="1" t="s">
        <v>7415</v>
      </c>
    </row>
    <row r="1485" spans="1:14" x14ac:dyDescent="0.35">
      <c r="A1485" s="1" t="s">
        <v>4321</v>
      </c>
      <c r="B1485" s="3" t="s">
        <v>3183</v>
      </c>
      <c r="C1485" s="1" t="s">
        <v>3297</v>
      </c>
      <c r="D1485" s="1" t="s">
        <v>7414</v>
      </c>
      <c r="E1485" s="1" t="str">
        <f>"2340"</f>
        <v>2340</v>
      </c>
      <c r="F1485" s="1" t="s">
        <v>647</v>
      </c>
      <c r="G1485" s="1" t="s">
        <v>648</v>
      </c>
      <c r="H1485" s="1" t="s">
        <v>15</v>
      </c>
      <c r="I1485" s="3" t="str">
        <f>"1"</f>
        <v>1</v>
      </c>
      <c r="J1485" s="3" t="str">
        <f>"14918"</f>
        <v>14918</v>
      </c>
      <c r="K1485" s="2">
        <v>45881</v>
      </c>
      <c r="L1485" s="2">
        <v>45892</v>
      </c>
      <c r="M1485" s="1" t="s">
        <v>3299</v>
      </c>
      <c r="N1485" s="1" t="s">
        <v>7413</v>
      </c>
    </row>
    <row r="1486" spans="1:14" x14ac:dyDescent="0.35">
      <c r="A1486" s="1" t="s">
        <v>4321</v>
      </c>
      <c r="B1486" s="3" t="s">
        <v>3183</v>
      </c>
      <c r="C1486" s="1" t="s">
        <v>3364</v>
      </c>
      <c r="D1486" s="1" t="s">
        <v>7412</v>
      </c>
      <c r="E1486" s="1" t="str">
        <f>"5965"</f>
        <v>5965</v>
      </c>
      <c r="F1486" s="1" t="str">
        <f>"226296584"</f>
        <v>226296584</v>
      </c>
      <c r="G1486" s="1" t="s">
        <v>1389</v>
      </c>
      <c r="H1486" s="1" t="s">
        <v>15</v>
      </c>
      <c r="I1486" s="3" t="str">
        <f>"4"</f>
        <v>4</v>
      </c>
      <c r="J1486" s="3">
        <v>1567.84</v>
      </c>
      <c r="K1486" s="2">
        <v>45881</v>
      </c>
      <c r="L1486" s="2">
        <v>45892</v>
      </c>
      <c r="M1486" s="1" t="s">
        <v>7411</v>
      </c>
      <c r="N1486" s="1" t="s">
        <v>7410</v>
      </c>
    </row>
    <row r="1487" spans="1:14" x14ac:dyDescent="0.35">
      <c r="A1487" s="1" t="s">
        <v>4321</v>
      </c>
      <c r="B1487" s="3" t="s">
        <v>4087</v>
      </c>
      <c r="C1487" s="1" t="s">
        <v>4143</v>
      </c>
      <c r="D1487" s="1" t="s">
        <v>7409</v>
      </c>
      <c r="E1487" s="1" t="str">
        <f>"5965"</f>
        <v>5965</v>
      </c>
      <c r="F1487" s="1" t="str">
        <f>"226296584"</f>
        <v>226296584</v>
      </c>
      <c r="G1487" s="1" t="s">
        <v>1389</v>
      </c>
      <c r="H1487" s="1" t="s">
        <v>15</v>
      </c>
      <c r="I1487" s="3" t="str">
        <f>"4"</f>
        <v>4</v>
      </c>
      <c r="J1487" s="3">
        <v>1567.84</v>
      </c>
      <c r="K1487" s="2">
        <v>45881</v>
      </c>
      <c r="L1487" s="2">
        <v>45892</v>
      </c>
      <c r="M1487" s="1" t="s">
        <v>7408</v>
      </c>
      <c r="N1487" s="1" t="s">
        <v>7407</v>
      </c>
    </row>
    <row r="1488" spans="1:14" x14ac:dyDescent="0.35">
      <c r="A1488" s="1" t="s">
        <v>4321</v>
      </c>
      <c r="B1488" s="3" t="s">
        <v>3885</v>
      </c>
      <c r="C1488" s="1" t="s">
        <v>4019</v>
      </c>
      <c r="D1488" s="1" t="s">
        <v>7406</v>
      </c>
      <c r="E1488" s="1" t="str">
        <f>"2340"</f>
        <v>2340</v>
      </c>
      <c r="F1488" s="1" t="s">
        <v>439</v>
      </c>
      <c r="G1488" s="1" t="s">
        <v>440</v>
      </c>
      <c r="H1488" s="1" t="s">
        <v>15</v>
      </c>
      <c r="I1488" s="3" t="str">
        <f>"1"</f>
        <v>1</v>
      </c>
      <c r="J1488" s="3" t="str">
        <f>"10899"</f>
        <v>10899</v>
      </c>
      <c r="K1488" s="2">
        <v>45881</v>
      </c>
      <c r="L1488" s="2">
        <v>45892</v>
      </c>
      <c r="M1488" s="1" t="s">
        <v>7405</v>
      </c>
      <c r="N1488" s="1" t="s">
        <v>7404</v>
      </c>
    </row>
    <row r="1489" spans="1:14" x14ac:dyDescent="0.35">
      <c r="A1489" s="1" t="s">
        <v>4321</v>
      </c>
      <c r="B1489" s="3" t="s">
        <v>3885</v>
      </c>
      <c r="C1489" s="1" t="s">
        <v>4019</v>
      </c>
      <c r="D1489" s="1" t="s">
        <v>7403</v>
      </c>
      <c r="E1489" s="1" t="str">
        <f>"2320"</f>
        <v>2320</v>
      </c>
      <c r="F1489" s="1" t="str">
        <f>"012802063"</f>
        <v>012802063</v>
      </c>
      <c r="G1489" s="1" t="s">
        <v>114</v>
      </c>
      <c r="H1489" s="1" t="s">
        <v>15</v>
      </c>
      <c r="I1489" s="3" t="str">
        <f>"1"</f>
        <v>1</v>
      </c>
      <c r="J1489" s="3" t="str">
        <f>"38530"</f>
        <v>38530</v>
      </c>
      <c r="K1489" s="2">
        <v>45881</v>
      </c>
      <c r="L1489" s="2">
        <v>45892</v>
      </c>
      <c r="M1489" s="1" t="s">
        <v>7402</v>
      </c>
      <c r="N1489" s="1" t="s">
        <v>7401</v>
      </c>
    </row>
    <row r="1490" spans="1:14" x14ac:dyDescent="0.35">
      <c r="A1490" s="1" t="s">
        <v>4321</v>
      </c>
      <c r="B1490" s="3" t="s">
        <v>93</v>
      </c>
      <c r="C1490" s="1" t="s">
        <v>565</v>
      </c>
      <c r="D1490" s="1" t="s">
        <v>7400</v>
      </c>
      <c r="E1490" s="1" t="str">
        <f>"3990"</f>
        <v>3990</v>
      </c>
      <c r="F1490" s="1" t="s">
        <v>154</v>
      </c>
      <c r="G1490" s="1" t="s">
        <v>155</v>
      </c>
      <c r="H1490" s="1" t="s">
        <v>15</v>
      </c>
      <c r="I1490" s="3" t="str">
        <f>"1"</f>
        <v>1</v>
      </c>
      <c r="J1490" s="3" t="str">
        <f>"2000"</f>
        <v>2000</v>
      </c>
      <c r="K1490" s="2">
        <v>45881</v>
      </c>
      <c r="L1490" s="2">
        <v>45892</v>
      </c>
      <c r="M1490" s="1" t="s">
        <v>7399</v>
      </c>
      <c r="N1490" s="1" t="s">
        <v>7398</v>
      </c>
    </row>
    <row r="1491" spans="1:14" x14ac:dyDescent="0.35">
      <c r="A1491" s="1" t="s">
        <v>4321</v>
      </c>
      <c r="B1491" s="3" t="s">
        <v>3885</v>
      </c>
      <c r="C1491" s="1" t="s">
        <v>4074</v>
      </c>
      <c r="D1491" s="1" t="s">
        <v>7397</v>
      </c>
      <c r="E1491" s="1" t="str">
        <f>"2320"</f>
        <v>2320</v>
      </c>
      <c r="F1491" s="1" t="str">
        <f>"012802063"</f>
        <v>012802063</v>
      </c>
      <c r="G1491" s="1" t="s">
        <v>114</v>
      </c>
      <c r="H1491" s="1" t="s">
        <v>15</v>
      </c>
      <c r="I1491" s="3" t="str">
        <f>"1"</f>
        <v>1</v>
      </c>
      <c r="J1491" s="3" t="str">
        <f>"38530"</f>
        <v>38530</v>
      </c>
      <c r="K1491" s="2">
        <v>45881</v>
      </c>
      <c r="L1491" s="2">
        <v>45892</v>
      </c>
      <c r="M1491" s="1" t="s">
        <v>7396</v>
      </c>
      <c r="N1491" s="1" t="s">
        <v>7395</v>
      </c>
    </row>
    <row r="1492" spans="1:14" x14ac:dyDescent="0.35">
      <c r="A1492" s="1" t="s">
        <v>4321</v>
      </c>
      <c r="B1492" s="3" t="s">
        <v>3885</v>
      </c>
      <c r="C1492" s="1" t="s">
        <v>4074</v>
      </c>
      <c r="D1492" s="1" t="s">
        <v>7394</v>
      </c>
      <c r="E1492" s="1" t="str">
        <f>"3930"</f>
        <v>3930</v>
      </c>
      <c r="F1492" s="1" t="s">
        <v>150</v>
      </c>
      <c r="G1492" s="1" t="s">
        <v>151</v>
      </c>
      <c r="H1492" s="1" t="s">
        <v>15</v>
      </c>
      <c r="I1492" s="3" t="str">
        <f>"1"</f>
        <v>1</v>
      </c>
      <c r="J1492" s="3" t="str">
        <f>"15000"</f>
        <v>15000</v>
      </c>
      <c r="K1492" s="2">
        <v>45881</v>
      </c>
      <c r="L1492" s="2">
        <v>45892</v>
      </c>
      <c r="M1492" s="1" t="s">
        <v>7393</v>
      </c>
      <c r="N1492" s="1" t="s">
        <v>7392</v>
      </c>
    </row>
    <row r="1493" spans="1:14" x14ac:dyDescent="0.35">
      <c r="A1493" s="1" t="s">
        <v>4321</v>
      </c>
      <c r="B1493" s="3" t="s">
        <v>1699</v>
      </c>
      <c r="C1493" s="1" t="s">
        <v>1726</v>
      </c>
      <c r="D1493" s="1" t="s">
        <v>7391</v>
      </c>
      <c r="E1493" s="1" t="str">
        <f>"3930"</f>
        <v>3930</v>
      </c>
      <c r="F1493" s="1" t="s">
        <v>150</v>
      </c>
      <c r="G1493" s="1" t="s">
        <v>151</v>
      </c>
      <c r="H1493" s="1" t="s">
        <v>15</v>
      </c>
      <c r="I1493" s="3" t="str">
        <f>"1"</f>
        <v>1</v>
      </c>
      <c r="J1493" s="3" t="str">
        <f>"26660"</f>
        <v>26660</v>
      </c>
      <c r="K1493" s="2">
        <v>45880</v>
      </c>
      <c r="L1493" s="2">
        <v>45892</v>
      </c>
      <c r="M1493" s="1" t="s">
        <v>7186</v>
      </c>
      <c r="N1493" s="1" t="s">
        <v>7390</v>
      </c>
    </row>
    <row r="1494" spans="1:14" x14ac:dyDescent="0.35">
      <c r="A1494" s="1" t="s">
        <v>4321</v>
      </c>
      <c r="B1494" s="3" t="s">
        <v>806</v>
      </c>
      <c r="C1494" s="1" t="s">
        <v>866</v>
      </c>
      <c r="D1494" s="1" t="s">
        <v>7389</v>
      </c>
      <c r="E1494" s="1" t="str">
        <f>"5965"</f>
        <v>5965</v>
      </c>
      <c r="F1494" s="1" t="str">
        <f>"226296584"</f>
        <v>226296584</v>
      </c>
      <c r="G1494" s="1" t="s">
        <v>1389</v>
      </c>
      <c r="H1494" s="1" t="s">
        <v>15</v>
      </c>
      <c r="I1494" s="3" t="str">
        <f>"15"</f>
        <v>15</v>
      </c>
      <c r="J1494" s="3">
        <v>1567.84</v>
      </c>
      <c r="K1494" s="2">
        <v>45880</v>
      </c>
      <c r="L1494" s="2">
        <v>45892</v>
      </c>
      <c r="M1494" s="1" t="s">
        <v>6885</v>
      </c>
      <c r="N1494" s="1" t="s">
        <v>4343</v>
      </c>
    </row>
    <row r="1495" spans="1:14" x14ac:dyDescent="0.35">
      <c r="A1495" s="1" t="s">
        <v>4321</v>
      </c>
      <c r="B1495" s="3" t="s">
        <v>2720</v>
      </c>
      <c r="C1495" s="1" t="s">
        <v>2757</v>
      </c>
      <c r="D1495" s="1" t="s">
        <v>7388</v>
      </c>
      <c r="E1495" s="1" t="str">
        <f>"4240"</f>
        <v>4240</v>
      </c>
      <c r="F1495" s="1" t="str">
        <f>"015040994"</f>
        <v>015040994</v>
      </c>
      <c r="G1495" s="1" t="s">
        <v>214</v>
      </c>
      <c r="H1495" s="1" t="s">
        <v>15</v>
      </c>
      <c r="I1495" s="3" t="str">
        <f>"100"</f>
        <v>100</v>
      </c>
      <c r="J1495" s="3">
        <v>70.849999999999994</v>
      </c>
      <c r="K1495" s="2">
        <v>45880</v>
      </c>
      <c r="L1495" s="2">
        <v>45892</v>
      </c>
      <c r="M1495" s="1" t="s">
        <v>7387</v>
      </c>
      <c r="N1495" s="1" t="s">
        <v>4343</v>
      </c>
    </row>
    <row r="1496" spans="1:14" x14ac:dyDescent="0.35">
      <c r="A1496" s="1" t="s">
        <v>4321</v>
      </c>
      <c r="B1496" s="3" t="s">
        <v>2720</v>
      </c>
      <c r="C1496" s="1" t="s">
        <v>2765</v>
      </c>
      <c r="D1496" s="1" t="s">
        <v>7386</v>
      </c>
      <c r="E1496" s="1" t="str">
        <f>"2340"</f>
        <v>2340</v>
      </c>
      <c r="F1496" s="1" t="s">
        <v>647</v>
      </c>
      <c r="G1496" s="1" t="s">
        <v>648</v>
      </c>
      <c r="H1496" s="1" t="s">
        <v>15</v>
      </c>
      <c r="I1496" s="3" t="str">
        <f>"1"</f>
        <v>1</v>
      </c>
      <c r="J1496" s="3" t="str">
        <f>"14918"</f>
        <v>14918</v>
      </c>
      <c r="K1496" s="2">
        <v>45880</v>
      </c>
      <c r="L1496" s="2">
        <v>45892</v>
      </c>
      <c r="M1496" s="1" t="s">
        <v>7383</v>
      </c>
      <c r="N1496" s="1" t="s">
        <v>7385</v>
      </c>
    </row>
    <row r="1497" spans="1:14" x14ac:dyDescent="0.35">
      <c r="A1497" s="1" t="s">
        <v>4321</v>
      </c>
      <c r="B1497" s="3" t="s">
        <v>2720</v>
      </c>
      <c r="C1497" s="1" t="s">
        <v>2765</v>
      </c>
      <c r="D1497" s="1" t="s">
        <v>7384</v>
      </c>
      <c r="E1497" s="1" t="str">
        <f>"2340"</f>
        <v>2340</v>
      </c>
      <c r="F1497" s="1" t="s">
        <v>647</v>
      </c>
      <c r="G1497" s="1" t="s">
        <v>648</v>
      </c>
      <c r="H1497" s="1" t="s">
        <v>15</v>
      </c>
      <c r="I1497" s="3" t="str">
        <f>"1"</f>
        <v>1</v>
      </c>
      <c r="J1497" s="3" t="str">
        <f>"14918"</f>
        <v>14918</v>
      </c>
      <c r="K1497" s="2">
        <v>45880</v>
      </c>
      <c r="L1497" s="2">
        <v>45892</v>
      </c>
      <c r="M1497" s="1" t="s">
        <v>7383</v>
      </c>
      <c r="N1497" s="1" t="s">
        <v>7382</v>
      </c>
    </row>
    <row r="1498" spans="1:14" x14ac:dyDescent="0.35">
      <c r="A1498" s="1" t="s">
        <v>4321</v>
      </c>
      <c r="B1498" s="3" t="s">
        <v>1977</v>
      </c>
      <c r="C1498" s="1" t="s">
        <v>1978</v>
      </c>
      <c r="D1498" s="1" t="s">
        <v>7381</v>
      </c>
      <c r="E1498" s="1" t="str">
        <f>"2340"</f>
        <v>2340</v>
      </c>
      <c r="F1498" s="1" t="s">
        <v>439</v>
      </c>
      <c r="G1498" s="1" t="s">
        <v>440</v>
      </c>
      <c r="H1498" s="1" t="s">
        <v>15</v>
      </c>
      <c r="I1498" s="3" t="str">
        <f>"1"</f>
        <v>1</v>
      </c>
      <c r="J1498" s="3" t="str">
        <f>"10899"</f>
        <v>10899</v>
      </c>
      <c r="K1498" s="2">
        <v>45880</v>
      </c>
      <c r="L1498" s="2">
        <v>45892</v>
      </c>
      <c r="M1498" s="1" t="s">
        <v>7380</v>
      </c>
      <c r="N1498" s="1" t="s">
        <v>7379</v>
      </c>
    </row>
    <row r="1499" spans="1:14" x14ac:dyDescent="0.35">
      <c r="A1499" s="1" t="s">
        <v>4321</v>
      </c>
      <c r="B1499" s="3" t="s">
        <v>1977</v>
      </c>
      <c r="C1499" s="1" t="s">
        <v>1978</v>
      </c>
      <c r="D1499" s="1" t="s">
        <v>7378</v>
      </c>
      <c r="E1499" s="1" t="str">
        <f>"2320"</f>
        <v>2320</v>
      </c>
      <c r="F1499" s="1" t="s">
        <v>1871</v>
      </c>
      <c r="G1499" s="1" t="s">
        <v>1872</v>
      </c>
      <c r="H1499" s="1" t="s">
        <v>15</v>
      </c>
      <c r="I1499" s="3" t="str">
        <f>"1"</f>
        <v>1</v>
      </c>
      <c r="J1499" s="3" t="str">
        <f>"6000"</f>
        <v>6000</v>
      </c>
      <c r="K1499" s="2">
        <v>45880</v>
      </c>
      <c r="L1499" s="2">
        <v>45892</v>
      </c>
      <c r="M1499" s="1" t="s">
        <v>7377</v>
      </c>
      <c r="N1499" s="1" t="s">
        <v>7376</v>
      </c>
    </row>
    <row r="1500" spans="1:14" x14ac:dyDescent="0.35">
      <c r="A1500" s="1" t="s">
        <v>4321</v>
      </c>
      <c r="B1500" s="3" t="s">
        <v>3183</v>
      </c>
      <c r="C1500" s="1" t="s">
        <v>3241</v>
      </c>
      <c r="D1500" s="1" t="s">
        <v>7375</v>
      </c>
      <c r="E1500" s="1" t="str">
        <f>"2340"</f>
        <v>2340</v>
      </c>
      <c r="F1500" s="1" t="s">
        <v>647</v>
      </c>
      <c r="G1500" s="1" t="s">
        <v>648</v>
      </c>
      <c r="H1500" s="1" t="s">
        <v>15</v>
      </c>
      <c r="I1500" s="3" t="str">
        <f>"1"</f>
        <v>1</v>
      </c>
      <c r="J1500" s="3" t="str">
        <f>"14918"</f>
        <v>14918</v>
      </c>
      <c r="K1500" s="2">
        <v>45880</v>
      </c>
      <c r="L1500" s="2">
        <v>45892</v>
      </c>
      <c r="M1500" s="1" t="s">
        <v>7374</v>
      </c>
      <c r="N1500" s="1" t="s">
        <v>7373</v>
      </c>
    </row>
    <row r="1501" spans="1:14" x14ac:dyDescent="0.35">
      <c r="A1501" s="1" t="s">
        <v>4321</v>
      </c>
      <c r="B1501" s="3" t="s">
        <v>3105</v>
      </c>
      <c r="C1501" s="1" t="s">
        <v>3129</v>
      </c>
      <c r="D1501" s="1" t="s">
        <v>7372</v>
      </c>
      <c r="E1501" s="1" t="str">
        <f>"2330"</f>
        <v>2330</v>
      </c>
      <c r="F1501" s="1" t="s">
        <v>70</v>
      </c>
      <c r="G1501" s="1" t="s">
        <v>71</v>
      </c>
      <c r="H1501" s="1" t="s">
        <v>15</v>
      </c>
      <c r="I1501" s="3" t="str">
        <f>"1"</f>
        <v>1</v>
      </c>
      <c r="J1501" s="3" t="str">
        <f>"8000"</f>
        <v>8000</v>
      </c>
      <c r="K1501" s="2">
        <v>45880</v>
      </c>
      <c r="L1501" s="2">
        <v>45892</v>
      </c>
      <c r="M1501" s="1" t="s">
        <v>7371</v>
      </c>
      <c r="N1501" s="1" t="s">
        <v>7370</v>
      </c>
    </row>
    <row r="1502" spans="1:14" x14ac:dyDescent="0.35">
      <c r="A1502" s="1" t="s">
        <v>4321</v>
      </c>
      <c r="B1502" s="3" t="s">
        <v>3105</v>
      </c>
      <c r="C1502" s="1" t="s">
        <v>3129</v>
      </c>
      <c r="D1502" s="1" t="s">
        <v>7369</v>
      </c>
      <c r="E1502" s="1" t="str">
        <f>"2340"</f>
        <v>2340</v>
      </c>
      <c r="F1502" s="1" t="s">
        <v>647</v>
      </c>
      <c r="G1502" s="1" t="s">
        <v>648</v>
      </c>
      <c r="H1502" s="1" t="s">
        <v>15</v>
      </c>
      <c r="I1502" s="3" t="str">
        <f>"1"</f>
        <v>1</v>
      </c>
      <c r="J1502" s="3" t="str">
        <f>"14918"</f>
        <v>14918</v>
      </c>
      <c r="K1502" s="2">
        <v>45880</v>
      </c>
      <c r="L1502" s="2">
        <v>45892</v>
      </c>
      <c r="M1502" s="1" t="s">
        <v>7366</v>
      </c>
      <c r="N1502" s="1" t="s">
        <v>7368</v>
      </c>
    </row>
    <row r="1503" spans="1:14" x14ac:dyDescent="0.35">
      <c r="A1503" s="1" t="s">
        <v>4321</v>
      </c>
      <c r="B1503" s="3" t="s">
        <v>3105</v>
      </c>
      <c r="C1503" s="1" t="s">
        <v>3129</v>
      </c>
      <c r="D1503" s="1" t="s">
        <v>7367</v>
      </c>
      <c r="E1503" s="1" t="str">
        <f>"2340"</f>
        <v>2340</v>
      </c>
      <c r="F1503" s="1" t="s">
        <v>647</v>
      </c>
      <c r="G1503" s="1" t="s">
        <v>648</v>
      </c>
      <c r="H1503" s="1" t="s">
        <v>15</v>
      </c>
      <c r="I1503" s="3" t="str">
        <f>"1"</f>
        <v>1</v>
      </c>
      <c r="J1503" s="3" t="str">
        <f>"14918"</f>
        <v>14918</v>
      </c>
      <c r="K1503" s="2">
        <v>45880</v>
      </c>
      <c r="L1503" s="2">
        <v>45892</v>
      </c>
      <c r="M1503" s="1" t="s">
        <v>7366</v>
      </c>
      <c r="N1503" s="1" t="s">
        <v>7365</v>
      </c>
    </row>
    <row r="1504" spans="1:14" x14ac:dyDescent="0.35">
      <c r="A1504" s="1" t="s">
        <v>4321</v>
      </c>
      <c r="B1504" s="3" t="s">
        <v>2638</v>
      </c>
      <c r="C1504" s="1" t="s">
        <v>2666</v>
      </c>
      <c r="D1504" s="1" t="s">
        <v>7364</v>
      </c>
      <c r="E1504" s="1" t="str">
        <f>"4240"</f>
        <v>4240</v>
      </c>
      <c r="F1504" s="1" t="str">
        <f>"015040994"</f>
        <v>015040994</v>
      </c>
      <c r="G1504" s="1" t="s">
        <v>214</v>
      </c>
      <c r="H1504" s="1" t="s">
        <v>15</v>
      </c>
      <c r="I1504" s="3" t="str">
        <f>"20"</f>
        <v>20</v>
      </c>
      <c r="J1504" s="3">
        <v>70.849999999999994</v>
      </c>
      <c r="K1504" s="2">
        <v>45880</v>
      </c>
      <c r="L1504" s="2">
        <v>45892</v>
      </c>
      <c r="M1504" s="1" t="s">
        <v>7363</v>
      </c>
      <c r="N1504" s="1" t="s">
        <v>7362</v>
      </c>
    </row>
    <row r="1505" spans="1:14" x14ac:dyDescent="0.35">
      <c r="A1505" s="1" t="s">
        <v>4321</v>
      </c>
      <c r="B1505" s="3" t="s">
        <v>93</v>
      </c>
      <c r="C1505" s="1" t="s">
        <v>390</v>
      </c>
      <c r="D1505" s="1" t="s">
        <v>7361</v>
      </c>
      <c r="E1505" s="1" t="str">
        <f>"4240"</f>
        <v>4240</v>
      </c>
      <c r="F1505" s="1" t="str">
        <f>"016772176"</f>
        <v>016772176</v>
      </c>
      <c r="G1505" s="1" t="s">
        <v>496</v>
      </c>
      <c r="H1505" s="1" t="s">
        <v>15</v>
      </c>
      <c r="I1505" s="3" t="str">
        <f>"1"</f>
        <v>1</v>
      </c>
      <c r="J1505" s="3">
        <v>99895.42</v>
      </c>
      <c r="K1505" s="2">
        <v>45880</v>
      </c>
      <c r="L1505" s="2">
        <v>45892</v>
      </c>
      <c r="M1505" s="1" t="s">
        <v>7358</v>
      </c>
      <c r="N1505" s="1" t="s">
        <v>7360</v>
      </c>
    </row>
    <row r="1506" spans="1:14" x14ac:dyDescent="0.35">
      <c r="A1506" s="1" t="s">
        <v>4321</v>
      </c>
      <c r="B1506" s="3" t="s">
        <v>93</v>
      </c>
      <c r="C1506" s="1" t="s">
        <v>390</v>
      </c>
      <c r="D1506" s="1" t="s">
        <v>7359</v>
      </c>
      <c r="E1506" s="1" t="str">
        <f>"4240"</f>
        <v>4240</v>
      </c>
      <c r="F1506" s="1" t="str">
        <f>"016772176"</f>
        <v>016772176</v>
      </c>
      <c r="G1506" s="1" t="s">
        <v>496</v>
      </c>
      <c r="H1506" s="1" t="s">
        <v>15</v>
      </c>
      <c r="I1506" s="3" t="str">
        <f>"1"</f>
        <v>1</v>
      </c>
      <c r="J1506" s="3">
        <v>99895.42</v>
      </c>
      <c r="K1506" s="2">
        <v>45880</v>
      </c>
      <c r="L1506" s="2">
        <v>45892</v>
      </c>
      <c r="M1506" s="1" t="s">
        <v>7358</v>
      </c>
      <c r="N1506" s="1" t="s">
        <v>4343</v>
      </c>
    </row>
    <row r="1507" spans="1:14" x14ac:dyDescent="0.35">
      <c r="A1507" s="1" t="s">
        <v>4321</v>
      </c>
      <c r="B1507" s="3" t="s">
        <v>2248</v>
      </c>
      <c r="C1507" s="1" t="s">
        <v>2424</v>
      </c>
      <c r="D1507" s="1" t="s">
        <v>7357</v>
      </c>
      <c r="E1507" s="1" t="str">
        <f>"2340"</f>
        <v>2340</v>
      </c>
      <c r="F1507" s="1" t="s">
        <v>647</v>
      </c>
      <c r="G1507" s="1" t="s">
        <v>648</v>
      </c>
      <c r="H1507" s="1" t="s">
        <v>15</v>
      </c>
      <c r="I1507" s="3" t="str">
        <f>"1"</f>
        <v>1</v>
      </c>
      <c r="J1507" s="3" t="str">
        <f>"14918"</f>
        <v>14918</v>
      </c>
      <c r="K1507" s="2">
        <v>45880</v>
      </c>
      <c r="L1507" s="2">
        <v>45892</v>
      </c>
      <c r="M1507" s="1" t="s">
        <v>2426</v>
      </c>
      <c r="N1507" s="1" t="s">
        <v>7356</v>
      </c>
    </row>
    <row r="1508" spans="1:14" x14ac:dyDescent="0.35">
      <c r="A1508" s="1" t="s">
        <v>4321</v>
      </c>
      <c r="B1508" s="3" t="s">
        <v>2000</v>
      </c>
      <c r="C1508" s="1" t="s">
        <v>2001</v>
      </c>
      <c r="D1508" s="1" t="s">
        <v>7355</v>
      </c>
      <c r="E1508" s="1" t="str">
        <f>"2320"</f>
        <v>2320</v>
      </c>
      <c r="F1508" s="1" t="str">
        <f>"012802063"</f>
        <v>012802063</v>
      </c>
      <c r="G1508" s="1" t="s">
        <v>114</v>
      </c>
      <c r="H1508" s="1" t="s">
        <v>15</v>
      </c>
      <c r="I1508" s="3" t="str">
        <f>"1"</f>
        <v>1</v>
      </c>
      <c r="J1508" s="3" t="str">
        <f>"38530"</f>
        <v>38530</v>
      </c>
      <c r="K1508" s="2">
        <v>45879</v>
      </c>
      <c r="L1508" s="2">
        <v>45892</v>
      </c>
      <c r="M1508" s="1" t="s">
        <v>7354</v>
      </c>
      <c r="N1508" s="1" t="s">
        <v>7353</v>
      </c>
    </row>
    <row r="1509" spans="1:14" x14ac:dyDescent="0.35">
      <c r="A1509" s="1" t="s">
        <v>4321</v>
      </c>
      <c r="B1509" s="3" t="s">
        <v>2720</v>
      </c>
      <c r="C1509" s="1" t="s">
        <v>2765</v>
      </c>
      <c r="D1509" s="1" t="s">
        <v>7352</v>
      </c>
      <c r="E1509" s="1" t="str">
        <f>"2330"</f>
        <v>2330</v>
      </c>
      <c r="F1509" s="1" t="s">
        <v>70</v>
      </c>
      <c r="G1509" s="1" t="s">
        <v>71</v>
      </c>
      <c r="H1509" s="1" t="s">
        <v>15</v>
      </c>
      <c r="I1509" s="3" t="str">
        <f>"1"</f>
        <v>1</v>
      </c>
      <c r="J1509" s="3" t="str">
        <f>"8000"</f>
        <v>8000</v>
      </c>
      <c r="K1509" s="2">
        <v>45879</v>
      </c>
      <c r="L1509" s="2">
        <v>45892</v>
      </c>
      <c r="M1509" s="1" t="s">
        <v>7351</v>
      </c>
      <c r="N1509" s="1" t="s">
        <v>7350</v>
      </c>
    </row>
    <row r="1510" spans="1:14" x14ac:dyDescent="0.35">
      <c r="A1510" s="1" t="s">
        <v>4321</v>
      </c>
      <c r="B1510" s="3" t="s">
        <v>2720</v>
      </c>
      <c r="C1510" s="1" t="s">
        <v>2765</v>
      </c>
      <c r="D1510" s="1" t="s">
        <v>7349</v>
      </c>
      <c r="E1510" s="1" t="str">
        <f>"2340"</f>
        <v>2340</v>
      </c>
      <c r="F1510" s="1" t="s">
        <v>647</v>
      </c>
      <c r="G1510" s="1" t="s">
        <v>648</v>
      </c>
      <c r="H1510" s="1" t="s">
        <v>15</v>
      </c>
      <c r="I1510" s="3" t="str">
        <f>"1"</f>
        <v>1</v>
      </c>
      <c r="J1510" s="3" t="str">
        <f>"14918"</f>
        <v>14918</v>
      </c>
      <c r="K1510" s="2">
        <v>45879</v>
      </c>
      <c r="L1510" s="2">
        <v>45892</v>
      </c>
      <c r="M1510" s="1" t="s">
        <v>7348</v>
      </c>
      <c r="N1510" s="1" t="s">
        <v>7347</v>
      </c>
    </row>
    <row r="1511" spans="1:14" x14ac:dyDescent="0.35">
      <c r="A1511" s="1" t="s">
        <v>4321</v>
      </c>
      <c r="B1511" s="3" t="s">
        <v>3105</v>
      </c>
      <c r="C1511" s="1" t="s">
        <v>3154</v>
      </c>
      <c r="D1511" s="1" t="s">
        <v>7346</v>
      </c>
      <c r="E1511" s="1" t="str">
        <f>"4240"</f>
        <v>4240</v>
      </c>
      <c r="F1511" s="1" t="str">
        <f>"015040994"</f>
        <v>015040994</v>
      </c>
      <c r="G1511" s="1" t="s">
        <v>214</v>
      </c>
      <c r="H1511" s="1" t="s">
        <v>15</v>
      </c>
      <c r="I1511" s="3" t="str">
        <f>"249"</f>
        <v>249</v>
      </c>
      <c r="J1511" s="3">
        <v>70.849999999999994</v>
      </c>
      <c r="K1511" s="2">
        <v>45879</v>
      </c>
      <c r="L1511" s="2">
        <v>45892</v>
      </c>
      <c r="M1511" s="1" t="s">
        <v>7345</v>
      </c>
      <c r="N1511" s="1" t="s">
        <v>7344</v>
      </c>
    </row>
    <row r="1512" spans="1:14" x14ac:dyDescent="0.35">
      <c r="A1512" s="1" t="s">
        <v>4321</v>
      </c>
      <c r="B1512" s="3" t="s">
        <v>93</v>
      </c>
      <c r="C1512" s="1" t="s">
        <v>4416</v>
      </c>
      <c r="D1512" s="1" t="s">
        <v>7343</v>
      </c>
      <c r="E1512" s="1" t="str">
        <f>"2310"</f>
        <v>2310</v>
      </c>
      <c r="F1512" s="1" t="s">
        <v>413</v>
      </c>
      <c r="G1512" s="1" t="s">
        <v>414</v>
      </c>
      <c r="H1512" s="1" t="s">
        <v>15</v>
      </c>
      <c r="I1512" s="3" t="str">
        <f>"1"</f>
        <v>1</v>
      </c>
      <c r="J1512" s="3">
        <v>22553.95</v>
      </c>
      <c r="K1512" s="2">
        <v>45878</v>
      </c>
      <c r="L1512" s="2">
        <v>45892</v>
      </c>
      <c r="M1512" s="1" t="s">
        <v>7342</v>
      </c>
      <c r="N1512" s="1" t="s">
        <v>7341</v>
      </c>
    </row>
    <row r="1513" spans="1:14" x14ac:dyDescent="0.35">
      <c r="A1513" s="1" t="s">
        <v>4321</v>
      </c>
      <c r="B1513" s="3" t="s">
        <v>3183</v>
      </c>
      <c r="C1513" s="1" t="s">
        <v>3357</v>
      </c>
      <c r="D1513" s="1" t="s">
        <v>7340</v>
      </c>
      <c r="E1513" s="1" t="str">
        <f>"2310"</f>
        <v>2310</v>
      </c>
      <c r="F1513" s="1" t="s">
        <v>413</v>
      </c>
      <c r="G1513" s="1" t="s">
        <v>414</v>
      </c>
      <c r="H1513" s="1" t="s">
        <v>15</v>
      </c>
      <c r="I1513" s="3" t="str">
        <f>"1"</f>
        <v>1</v>
      </c>
      <c r="J1513" s="3">
        <v>22553.95</v>
      </c>
      <c r="K1513" s="2">
        <v>45878</v>
      </c>
      <c r="L1513" s="2">
        <v>45892</v>
      </c>
      <c r="M1513" s="1" t="s">
        <v>7339</v>
      </c>
      <c r="N1513" s="1" t="s">
        <v>7338</v>
      </c>
    </row>
    <row r="1514" spans="1:14" x14ac:dyDescent="0.35">
      <c r="A1514" s="1" t="s">
        <v>4321</v>
      </c>
      <c r="B1514" s="3" t="s">
        <v>1699</v>
      </c>
      <c r="C1514" s="1" t="s">
        <v>1795</v>
      </c>
      <c r="D1514" s="1" t="s">
        <v>7337</v>
      </c>
      <c r="E1514" s="1" t="str">
        <f>"2310"</f>
        <v>2310</v>
      </c>
      <c r="F1514" s="1" t="s">
        <v>413</v>
      </c>
      <c r="G1514" s="1" t="s">
        <v>414</v>
      </c>
      <c r="H1514" s="1" t="s">
        <v>15</v>
      </c>
      <c r="I1514" s="3" t="str">
        <f>"1"</f>
        <v>1</v>
      </c>
      <c r="J1514" s="3">
        <v>22553.95</v>
      </c>
      <c r="K1514" s="2">
        <v>45878</v>
      </c>
      <c r="L1514" s="2">
        <v>45892</v>
      </c>
      <c r="M1514" s="1" t="s">
        <v>7336</v>
      </c>
      <c r="N1514" s="1" t="s">
        <v>7335</v>
      </c>
    </row>
    <row r="1515" spans="1:14" x14ac:dyDescent="0.35">
      <c r="A1515" s="1" t="s">
        <v>4321</v>
      </c>
      <c r="B1515" s="3" t="s">
        <v>3105</v>
      </c>
      <c r="C1515" s="1" t="s">
        <v>4877</v>
      </c>
      <c r="D1515" s="1" t="s">
        <v>7334</v>
      </c>
      <c r="E1515" s="1" t="str">
        <f>"2320"</f>
        <v>2320</v>
      </c>
      <c r="F1515" s="1" t="str">
        <f>"010907892"</f>
        <v>010907892</v>
      </c>
      <c r="G1515" s="1" t="s">
        <v>373</v>
      </c>
      <c r="H1515" s="1" t="s">
        <v>15</v>
      </c>
      <c r="I1515" s="3" t="str">
        <f>"1"</f>
        <v>1</v>
      </c>
      <c r="J1515" s="3" t="str">
        <f>"23000"</f>
        <v>23000</v>
      </c>
      <c r="K1515" s="2">
        <v>45878</v>
      </c>
      <c r="L1515" s="2">
        <v>45892</v>
      </c>
      <c r="M1515" s="1" t="s">
        <v>7333</v>
      </c>
      <c r="N1515" s="1" t="s">
        <v>7332</v>
      </c>
    </row>
    <row r="1516" spans="1:14" x14ac:dyDescent="0.35">
      <c r="A1516" s="1" t="s">
        <v>4321</v>
      </c>
      <c r="B1516" s="3" t="s">
        <v>2494</v>
      </c>
      <c r="C1516" s="1" t="s">
        <v>2584</v>
      </c>
      <c r="D1516" s="1" t="s">
        <v>7331</v>
      </c>
      <c r="E1516" s="1" t="str">
        <f>"2310"</f>
        <v>2310</v>
      </c>
      <c r="F1516" s="1" t="s">
        <v>413</v>
      </c>
      <c r="G1516" s="1" t="s">
        <v>414</v>
      </c>
      <c r="H1516" s="1" t="s">
        <v>15</v>
      </c>
      <c r="I1516" s="3" t="str">
        <f>"1"</f>
        <v>1</v>
      </c>
      <c r="J1516" s="3">
        <v>22553.95</v>
      </c>
      <c r="K1516" s="2">
        <v>45878</v>
      </c>
      <c r="L1516" s="2">
        <v>45892</v>
      </c>
      <c r="M1516" s="1" t="s">
        <v>7330</v>
      </c>
      <c r="N1516" s="1" t="s">
        <v>7329</v>
      </c>
    </row>
    <row r="1517" spans="1:14" x14ac:dyDescent="0.35">
      <c r="A1517" s="1" t="s">
        <v>4321</v>
      </c>
      <c r="B1517" s="3" t="s">
        <v>93</v>
      </c>
      <c r="C1517" s="1" t="s">
        <v>450</v>
      </c>
      <c r="D1517" s="1" t="s">
        <v>7328</v>
      </c>
      <c r="E1517" s="1" t="str">
        <f>"4240"</f>
        <v>4240</v>
      </c>
      <c r="F1517" s="1" t="str">
        <f>"016772176"</f>
        <v>016772176</v>
      </c>
      <c r="G1517" s="1" t="s">
        <v>496</v>
      </c>
      <c r="H1517" s="1" t="s">
        <v>15</v>
      </c>
      <c r="I1517" s="3" t="str">
        <f>"1"</f>
        <v>1</v>
      </c>
      <c r="J1517" s="3">
        <v>99895.42</v>
      </c>
      <c r="K1517" s="2">
        <v>45878</v>
      </c>
      <c r="L1517" s="2">
        <v>45892</v>
      </c>
      <c r="M1517" s="1" t="s">
        <v>497</v>
      </c>
      <c r="N1517" s="1" t="s">
        <v>7327</v>
      </c>
    </row>
    <row r="1518" spans="1:14" x14ac:dyDescent="0.35">
      <c r="A1518" s="1" t="s">
        <v>4321</v>
      </c>
      <c r="B1518" s="3" t="s">
        <v>3885</v>
      </c>
      <c r="C1518" s="1" t="s">
        <v>4022</v>
      </c>
      <c r="D1518" s="1" t="s">
        <v>7326</v>
      </c>
      <c r="E1518" s="1" t="str">
        <f>"2320"</f>
        <v>2320</v>
      </c>
      <c r="F1518" s="1" t="str">
        <f>"010907892"</f>
        <v>010907892</v>
      </c>
      <c r="G1518" s="1" t="s">
        <v>373</v>
      </c>
      <c r="H1518" s="1" t="s">
        <v>15</v>
      </c>
      <c r="I1518" s="3" t="str">
        <f>"1"</f>
        <v>1</v>
      </c>
      <c r="J1518" s="3" t="str">
        <f>"23000"</f>
        <v>23000</v>
      </c>
      <c r="K1518" s="2">
        <v>45878</v>
      </c>
      <c r="L1518" s="2">
        <v>45892</v>
      </c>
      <c r="M1518" s="1" t="s">
        <v>7325</v>
      </c>
      <c r="N1518" s="1" t="s">
        <v>7324</v>
      </c>
    </row>
    <row r="1519" spans="1:14" x14ac:dyDescent="0.35">
      <c r="A1519" s="1" t="s">
        <v>4321</v>
      </c>
      <c r="B1519" s="3" t="s">
        <v>691</v>
      </c>
      <c r="C1519" s="1" t="s">
        <v>707</v>
      </c>
      <c r="D1519" s="1" t="s">
        <v>7323</v>
      </c>
      <c r="E1519" s="1" t="str">
        <f>"1240"</f>
        <v>1240</v>
      </c>
      <c r="F1519" s="1" t="str">
        <f>"015082073"</f>
        <v>015082073</v>
      </c>
      <c r="G1519" s="1" t="s">
        <v>208</v>
      </c>
      <c r="H1519" s="1" t="s">
        <v>15</v>
      </c>
      <c r="I1519" s="3" t="str">
        <f>"2"</f>
        <v>2</v>
      </c>
      <c r="J1519" s="3" t="str">
        <f>"11500"</f>
        <v>11500</v>
      </c>
      <c r="K1519" s="2">
        <v>45890</v>
      </c>
      <c r="L1519" s="2">
        <v>45891</v>
      </c>
      <c r="M1519" s="1" t="s">
        <v>7322</v>
      </c>
      <c r="N1519" s="1" t="s">
        <v>4343</v>
      </c>
    </row>
    <row r="1520" spans="1:14" x14ac:dyDescent="0.35">
      <c r="A1520" s="1" t="s">
        <v>4321</v>
      </c>
      <c r="B1520" s="3" t="s">
        <v>93</v>
      </c>
      <c r="C1520" s="1" t="s">
        <v>369</v>
      </c>
      <c r="D1520" s="1" t="s">
        <v>7321</v>
      </c>
      <c r="E1520" s="1" t="str">
        <f>"2340"</f>
        <v>2340</v>
      </c>
      <c r="F1520" s="1" t="s">
        <v>647</v>
      </c>
      <c r="G1520" s="1" t="s">
        <v>648</v>
      </c>
      <c r="H1520" s="1" t="s">
        <v>15</v>
      </c>
      <c r="I1520" s="3" t="str">
        <f>"1"</f>
        <v>1</v>
      </c>
      <c r="J1520" s="3">
        <v>10195.85</v>
      </c>
      <c r="K1520" s="2">
        <v>45889</v>
      </c>
      <c r="L1520" s="2">
        <v>45891</v>
      </c>
      <c r="M1520" s="1" t="s">
        <v>7320</v>
      </c>
      <c r="N1520" s="1" t="s">
        <v>4343</v>
      </c>
    </row>
    <row r="1521" spans="1:14" x14ac:dyDescent="0.35">
      <c r="A1521" s="1" t="s">
        <v>4321</v>
      </c>
      <c r="B1521" s="3" t="s">
        <v>1699</v>
      </c>
      <c r="C1521" s="1" t="s">
        <v>7319</v>
      </c>
      <c r="D1521" s="1" t="s">
        <v>7318</v>
      </c>
      <c r="E1521" s="1" t="str">
        <f>"2340"</f>
        <v>2340</v>
      </c>
      <c r="F1521" s="1" t="s">
        <v>647</v>
      </c>
      <c r="G1521" s="1" t="s">
        <v>648</v>
      </c>
      <c r="H1521" s="1" t="s">
        <v>15</v>
      </c>
      <c r="I1521" s="3" t="str">
        <f>"2"</f>
        <v>2</v>
      </c>
      <c r="J1521" s="3">
        <v>10195.85</v>
      </c>
      <c r="K1521" s="2">
        <v>45889</v>
      </c>
      <c r="L1521" s="2">
        <v>45891</v>
      </c>
      <c r="M1521" s="1" t="s">
        <v>7317</v>
      </c>
      <c r="N1521" s="1" t="s">
        <v>7316</v>
      </c>
    </row>
    <row r="1522" spans="1:14" x14ac:dyDescent="0.35">
      <c r="A1522" s="1" t="s">
        <v>4321</v>
      </c>
      <c r="B1522" s="3" t="s">
        <v>2248</v>
      </c>
      <c r="C1522" s="1" t="s">
        <v>2375</v>
      </c>
      <c r="D1522" s="1" t="s">
        <v>7315</v>
      </c>
      <c r="E1522" s="1" t="str">
        <f>"2340"</f>
        <v>2340</v>
      </c>
      <c r="F1522" s="1" t="s">
        <v>647</v>
      </c>
      <c r="G1522" s="1" t="s">
        <v>648</v>
      </c>
      <c r="H1522" s="1" t="s">
        <v>15</v>
      </c>
      <c r="I1522" s="3" t="str">
        <f>"3"</f>
        <v>3</v>
      </c>
      <c r="J1522" s="3">
        <v>10195.85</v>
      </c>
      <c r="K1522" s="2">
        <v>45889</v>
      </c>
      <c r="L1522" s="2">
        <v>45891</v>
      </c>
      <c r="M1522" s="1" t="s">
        <v>7314</v>
      </c>
      <c r="N1522" s="1" t="s">
        <v>7313</v>
      </c>
    </row>
    <row r="1523" spans="1:14" x14ac:dyDescent="0.35">
      <c r="A1523" s="1" t="s">
        <v>4321</v>
      </c>
      <c r="B1523" s="3" t="s">
        <v>2248</v>
      </c>
      <c r="C1523" s="1" t="s">
        <v>2414</v>
      </c>
      <c r="D1523" s="1" t="s">
        <v>7312</v>
      </c>
      <c r="E1523" s="1" t="str">
        <f>"1550"</f>
        <v>1550</v>
      </c>
      <c r="F1523" s="1" t="s">
        <v>7292</v>
      </c>
      <c r="G1523" s="1" t="s">
        <v>7291</v>
      </c>
      <c r="H1523" s="1" t="s">
        <v>15</v>
      </c>
      <c r="I1523" s="3" t="str">
        <f>"1"</f>
        <v>1</v>
      </c>
      <c r="J1523" s="3" t="str">
        <f>"2699"</f>
        <v>2699</v>
      </c>
      <c r="K1523" s="2">
        <v>45889</v>
      </c>
      <c r="L1523" s="2">
        <v>45891</v>
      </c>
      <c r="M1523" s="1" t="s">
        <v>7311</v>
      </c>
      <c r="N1523" s="1" t="s">
        <v>7310</v>
      </c>
    </row>
    <row r="1524" spans="1:14" x14ac:dyDescent="0.35">
      <c r="A1524" s="1" t="s">
        <v>4321</v>
      </c>
      <c r="B1524" s="3" t="s">
        <v>3885</v>
      </c>
      <c r="C1524" s="1" t="s">
        <v>4074</v>
      </c>
      <c r="D1524" s="1" t="s">
        <v>7309</v>
      </c>
      <c r="E1524" s="1" t="str">
        <f>"2340"</f>
        <v>2340</v>
      </c>
      <c r="F1524" s="1" t="s">
        <v>278</v>
      </c>
      <c r="G1524" s="1" t="s">
        <v>279</v>
      </c>
      <c r="H1524" s="1" t="s">
        <v>15</v>
      </c>
      <c r="I1524" s="3" t="str">
        <f>"1"</f>
        <v>1</v>
      </c>
      <c r="J1524" s="3">
        <v>16937.47</v>
      </c>
      <c r="K1524" s="2">
        <v>45889</v>
      </c>
      <c r="L1524" s="2">
        <v>45891</v>
      </c>
      <c r="M1524" s="1" t="s">
        <v>7304</v>
      </c>
      <c r="N1524" s="1" t="s">
        <v>7308</v>
      </c>
    </row>
    <row r="1525" spans="1:14" x14ac:dyDescent="0.35">
      <c r="A1525" s="1" t="s">
        <v>4321</v>
      </c>
      <c r="B1525" s="3" t="s">
        <v>3885</v>
      </c>
      <c r="C1525" s="1" t="s">
        <v>4074</v>
      </c>
      <c r="D1525" s="1" t="s">
        <v>7309</v>
      </c>
      <c r="E1525" s="1" t="str">
        <f>"2340"</f>
        <v>2340</v>
      </c>
      <c r="F1525" s="1" t="s">
        <v>278</v>
      </c>
      <c r="G1525" s="1" t="s">
        <v>279</v>
      </c>
      <c r="H1525" s="1" t="s">
        <v>15</v>
      </c>
      <c r="I1525" s="3" t="str">
        <f>"1"</f>
        <v>1</v>
      </c>
      <c r="J1525" s="3">
        <v>16937.47</v>
      </c>
      <c r="K1525" s="2">
        <v>45889</v>
      </c>
      <c r="L1525" s="2">
        <v>45891</v>
      </c>
      <c r="M1525" s="1" t="s">
        <v>7304</v>
      </c>
      <c r="N1525" s="1" t="s">
        <v>7308</v>
      </c>
    </row>
    <row r="1526" spans="1:14" x14ac:dyDescent="0.35">
      <c r="A1526" s="1" t="s">
        <v>4321</v>
      </c>
      <c r="B1526" s="3" t="s">
        <v>3885</v>
      </c>
      <c r="C1526" s="1" t="s">
        <v>4074</v>
      </c>
      <c r="D1526" s="1" t="s">
        <v>7307</v>
      </c>
      <c r="E1526" s="1" t="str">
        <f>"2340"</f>
        <v>2340</v>
      </c>
      <c r="F1526" s="1" t="s">
        <v>278</v>
      </c>
      <c r="G1526" s="1" t="s">
        <v>279</v>
      </c>
      <c r="H1526" s="1" t="s">
        <v>15</v>
      </c>
      <c r="I1526" s="3" t="str">
        <f>"1"</f>
        <v>1</v>
      </c>
      <c r="J1526" s="3">
        <v>9284.27</v>
      </c>
      <c r="K1526" s="2">
        <v>45889</v>
      </c>
      <c r="L1526" s="2">
        <v>45891</v>
      </c>
      <c r="M1526" s="1" t="s">
        <v>7304</v>
      </c>
      <c r="N1526" s="1" t="s">
        <v>7306</v>
      </c>
    </row>
    <row r="1527" spans="1:14" x14ac:dyDescent="0.35">
      <c r="A1527" s="1" t="s">
        <v>4321</v>
      </c>
      <c r="B1527" s="3" t="s">
        <v>3885</v>
      </c>
      <c r="C1527" s="1" t="s">
        <v>4074</v>
      </c>
      <c r="D1527" s="1" t="s">
        <v>7307</v>
      </c>
      <c r="E1527" s="1" t="str">
        <f>"2340"</f>
        <v>2340</v>
      </c>
      <c r="F1527" s="1" t="s">
        <v>278</v>
      </c>
      <c r="G1527" s="1" t="s">
        <v>279</v>
      </c>
      <c r="H1527" s="1" t="s">
        <v>15</v>
      </c>
      <c r="I1527" s="3" t="str">
        <f>"1"</f>
        <v>1</v>
      </c>
      <c r="J1527" s="3">
        <v>9284.27</v>
      </c>
      <c r="K1527" s="2">
        <v>45889</v>
      </c>
      <c r="L1527" s="2">
        <v>45891</v>
      </c>
      <c r="M1527" s="1" t="s">
        <v>7304</v>
      </c>
      <c r="N1527" s="1" t="s">
        <v>7306</v>
      </c>
    </row>
    <row r="1528" spans="1:14" x14ac:dyDescent="0.35">
      <c r="A1528" s="1" t="s">
        <v>4321</v>
      </c>
      <c r="B1528" s="3" t="s">
        <v>3885</v>
      </c>
      <c r="C1528" s="1" t="s">
        <v>4074</v>
      </c>
      <c r="D1528" s="1" t="s">
        <v>7305</v>
      </c>
      <c r="E1528" s="1" t="str">
        <f>"2340"</f>
        <v>2340</v>
      </c>
      <c r="F1528" s="1" t="s">
        <v>278</v>
      </c>
      <c r="G1528" s="1" t="s">
        <v>279</v>
      </c>
      <c r="H1528" s="1" t="s">
        <v>15</v>
      </c>
      <c r="I1528" s="3" t="str">
        <f>"1"</f>
        <v>1</v>
      </c>
      <c r="J1528" s="3">
        <v>12315.66</v>
      </c>
      <c r="K1528" s="2">
        <v>45889</v>
      </c>
      <c r="L1528" s="2">
        <v>45891</v>
      </c>
      <c r="M1528" s="1" t="s">
        <v>7304</v>
      </c>
      <c r="N1528" s="1" t="s">
        <v>7303</v>
      </c>
    </row>
    <row r="1529" spans="1:14" x14ac:dyDescent="0.35">
      <c r="A1529" s="1" t="s">
        <v>4321</v>
      </c>
      <c r="B1529" s="3" t="s">
        <v>3885</v>
      </c>
      <c r="C1529" s="1" t="s">
        <v>4074</v>
      </c>
      <c r="D1529" s="1" t="s">
        <v>7305</v>
      </c>
      <c r="E1529" s="1" t="str">
        <f>"2340"</f>
        <v>2340</v>
      </c>
      <c r="F1529" s="1" t="s">
        <v>278</v>
      </c>
      <c r="G1529" s="1" t="s">
        <v>279</v>
      </c>
      <c r="H1529" s="1" t="s">
        <v>15</v>
      </c>
      <c r="I1529" s="3" t="str">
        <f>"1"</f>
        <v>1</v>
      </c>
      <c r="J1529" s="3">
        <v>12315.66</v>
      </c>
      <c r="K1529" s="2">
        <v>45889</v>
      </c>
      <c r="L1529" s="2">
        <v>45891</v>
      </c>
      <c r="M1529" s="1" t="s">
        <v>7304</v>
      </c>
      <c r="N1529" s="1" t="s">
        <v>7303</v>
      </c>
    </row>
    <row r="1530" spans="1:14" x14ac:dyDescent="0.35">
      <c r="A1530" s="1" t="s">
        <v>4321</v>
      </c>
      <c r="B1530" s="3" t="s">
        <v>1944</v>
      </c>
      <c r="C1530" s="1" t="s">
        <v>7302</v>
      </c>
      <c r="D1530" s="1" t="s">
        <v>7301</v>
      </c>
      <c r="E1530" s="1" t="str">
        <f>"2320"</f>
        <v>2320</v>
      </c>
      <c r="F1530" s="1" t="s">
        <v>274</v>
      </c>
      <c r="G1530" s="1" t="s">
        <v>275</v>
      </c>
      <c r="H1530" s="1" t="s">
        <v>15</v>
      </c>
      <c r="I1530" s="3" t="str">
        <f>"1"</f>
        <v>1</v>
      </c>
      <c r="J1530" s="3" t="str">
        <f>"15000"</f>
        <v>15000</v>
      </c>
      <c r="K1530" s="2">
        <v>45887</v>
      </c>
      <c r="L1530" s="2">
        <v>45891</v>
      </c>
      <c r="M1530" s="1" t="s">
        <v>7300</v>
      </c>
      <c r="N1530" s="1" t="s">
        <v>7299</v>
      </c>
    </row>
    <row r="1531" spans="1:14" x14ac:dyDescent="0.35">
      <c r="A1531" s="1" t="s">
        <v>4321</v>
      </c>
      <c r="B1531" s="3" t="s">
        <v>2000</v>
      </c>
      <c r="C1531" s="1" t="s">
        <v>2078</v>
      </c>
      <c r="D1531" s="1" t="s">
        <v>7298</v>
      </c>
      <c r="E1531" s="1" t="str">
        <f>"2320"</f>
        <v>2320</v>
      </c>
      <c r="F1531" s="1" t="s">
        <v>274</v>
      </c>
      <c r="G1531" s="1" t="s">
        <v>275</v>
      </c>
      <c r="H1531" s="1" t="s">
        <v>15</v>
      </c>
      <c r="I1531" s="3" t="str">
        <f>"1"</f>
        <v>1</v>
      </c>
      <c r="J1531" s="3" t="str">
        <f>"15000"</f>
        <v>15000</v>
      </c>
      <c r="K1531" s="2">
        <v>45887</v>
      </c>
      <c r="L1531" s="2">
        <v>45891</v>
      </c>
      <c r="M1531" s="1" t="s">
        <v>7297</v>
      </c>
      <c r="N1531" s="1" t="s">
        <v>4343</v>
      </c>
    </row>
    <row r="1532" spans="1:14" x14ac:dyDescent="0.35">
      <c r="A1532" s="1" t="s">
        <v>4321</v>
      </c>
      <c r="B1532" s="3" t="s">
        <v>2494</v>
      </c>
      <c r="C1532" s="1" t="s">
        <v>6022</v>
      </c>
      <c r="D1532" s="1" t="s">
        <v>7296</v>
      </c>
      <c r="E1532" s="1" t="str">
        <f>"2320"</f>
        <v>2320</v>
      </c>
      <c r="F1532" s="1" t="s">
        <v>274</v>
      </c>
      <c r="G1532" s="1" t="s">
        <v>275</v>
      </c>
      <c r="H1532" s="1" t="s">
        <v>15</v>
      </c>
      <c r="I1532" s="3" t="str">
        <f>"1"</f>
        <v>1</v>
      </c>
      <c r="J1532" s="3" t="str">
        <f>"15000"</f>
        <v>15000</v>
      </c>
      <c r="K1532" s="2">
        <v>45887</v>
      </c>
      <c r="L1532" s="2">
        <v>45891</v>
      </c>
      <c r="M1532" s="1" t="s">
        <v>7295</v>
      </c>
      <c r="N1532" s="1" t="s">
        <v>7294</v>
      </c>
    </row>
    <row r="1533" spans="1:14" x14ac:dyDescent="0.35">
      <c r="A1533" s="1" t="s">
        <v>4321</v>
      </c>
      <c r="B1533" s="3" t="s">
        <v>2248</v>
      </c>
      <c r="C1533" s="1" t="s">
        <v>2332</v>
      </c>
      <c r="D1533" s="1" t="s">
        <v>7293</v>
      </c>
      <c r="E1533" s="1" t="str">
        <f>"1550"</f>
        <v>1550</v>
      </c>
      <c r="F1533" s="1" t="s">
        <v>7292</v>
      </c>
      <c r="G1533" s="1" t="s">
        <v>7291</v>
      </c>
      <c r="H1533" s="1" t="s">
        <v>15</v>
      </c>
      <c r="I1533" s="3" t="str">
        <f>"1"</f>
        <v>1</v>
      </c>
      <c r="J1533" s="3" t="str">
        <f>"2699"</f>
        <v>2699</v>
      </c>
      <c r="K1533" s="2">
        <v>45885</v>
      </c>
      <c r="L1533" s="2">
        <v>45891</v>
      </c>
      <c r="M1533" s="1" t="s">
        <v>7290</v>
      </c>
      <c r="N1533" s="1" t="s">
        <v>7289</v>
      </c>
    </row>
    <row r="1534" spans="1:14" x14ac:dyDescent="0.35">
      <c r="A1534" s="1" t="s">
        <v>4321</v>
      </c>
      <c r="B1534" s="3" t="s">
        <v>3183</v>
      </c>
      <c r="C1534" s="1" t="s">
        <v>3487</v>
      </c>
      <c r="D1534" s="1" t="s">
        <v>7288</v>
      </c>
      <c r="E1534" s="1" t="str">
        <f>"2320"</f>
        <v>2320</v>
      </c>
      <c r="F1534" s="1" t="s">
        <v>274</v>
      </c>
      <c r="G1534" s="1" t="s">
        <v>275</v>
      </c>
      <c r="H1534" s="1" t="s">
        <v>15</v>
      </c>
      <c r="I1534" s="3" t="str">
        <f>"1"</f>
        <v>1</v>
      </c>
      <c r="J1534" s="3" t="str">
        <f>"15000"</f>
        <v>15000</v>
      </c>
      <c r="K1534" s="2">
        <v>45885</v>
      </c>
      <c r="L1534" s="2">
        <v>45891</v>
      </c>
      <c r="M1534" s="1" t="s">
        <v>7287</v>
      </c>
      <c r="N1534" s="1" t="s">
        <v>7286</v>
      </c>
    </row>
    <row r="1535" spans="1:14" x14ac:dyDescent="0.35">
      <c r="A1535" s="1" t="s">
        <v>4321</v>
      </c>
      <c r="B1535" s="3" t="s">
        <v>3885</v>
      </c>
      <c r="C1535" s="1" t="s">
        <v>4022</v>
      </c>
      <c r="D1535" s="1" t="s">
        <v>7285</v>
      </c>
      <c r="E1535" s="1" t="str">
        <f>"2320"</f>
        <v>2320</v>
      </c>
      <c r="F1535" s="1" t="s">
        <v>274</v>
      </c>
      <c r="G1535" s="1" t="s">
        <v>275</v>
      </c>
      <c r="H1535" s="1" t="s">
        <v>15</v>
      </c>
      <c r="I1535" s="3" t="str">
        <f>"1"</f>
        <v>1</v>
      </c>
      <c r="J1535" s="3" t="str">
        <f>"15000"</f>
        <v>15000</v>
      </c>
      <c r="K1535" s="2">
        <v>45885</v>
      </c>
      <c r="L1535" s="2">
        <v>45891</v>
      </c>
      <c r="M1535" s="1" t="s">
        <v>7284</v>
      </c>
      <c r="N1535" s="1" t="s">
        <v>7283</v>
      </c>
    </row>
    <row r="1536" spans="1:14" x14ac:dyDescent="0.35">
      <c r="A1536" s="1" t="s">
        <v>4321</v>
      </c>
      <c r="B1536" s="3" t="s">
        <v>1699</v>
      </c>
      <c r="C1536" s="1" t="s">
        <v>1730</v>
      </c>
      <c r="D1536" s="1" t="s">
        <v>7282</v>
      </c>
      <c r="E1536" s="1" t="str">
        <f>"6545"</f>
        <v>6545</v>
      </c>
      <c r="F1536" s="1" t="str">
        <f>"016320167"</f>
        <v>016320167</v>
      </c>
      <c r="G1536" s="1" t="s">
        <v>1046</v>
      </c>
      <c r="H1536" s="1" t="s">
        <v>19</v>
      </c>
      <c r="I1536" s="3" t="str">
        <f>"50"</f>
        <v>50</v>
      </c>
      <c r="J1536" s="3">
        <v>422.49</v>
      </c>
      <c r="K1536" s="2">
        <v>45883</v>
      </c>
      <c r="L1536" s="2">
        <v>45891</v>
      </c>
      <c r="M1536" s="1" t="s">
        <v>7281</v>
      </c>
      <c r="N1536" s="1" t="s">
        <v>7280</v>
      </c>
    </row>
    <row r="1537" spans="1:14" x14ac:dyDescent="0.35">
      <c r="A1537" s="1" t="s">
        <v>4321</v>
      </c>
      <c r="B1537" s="3" t="s">
        <v>4087</v>
      </c>
      <c r="C1537" s="1" t="s">
        <v>4143</v>
      </c>
      <c r="D1537" s="1" t="s">
        <v>7279</v>
      </c>
      <c r="E1537" s="1" t="str">
        <f>"6545"</f>
        <v>6545</v>
      </c>
      <c r="F1537" s="1" t="str">
        <f>"016320167"</f>
        <v>016320167</v>
      </c>
      <c r="G1537" s="1" t="s">
        <v>1046</v>
      </c>
      <c r="H1537" s="1" t="s">
        <v>19</v>
      </c>
      <c r="I1537" s="3" t="str">
        <f>"16"</f>
        <v>16</v>
      </c>
      <c r="J1537" s="3">
        <v>422.49</v>
      </c>
      <c r="K1537" s="2">
        <v>45882</v>
      </c>
      <c r="L1537" s="2">
        <v>45891</v>
      </c>
      <c r="M1537" s="1" t="s">
        <v>7278</v>
      </c>
      <c r="N1537" s="1" t="s">
        <v>7277</v>
      </c>
    </row>
    <row r="1538" spans="1:14" x14ac:dyDescent="0.35">
      <c r="A1538" s="1" t="s">
        <v>4321</v>
      </c>
      <c r="B1538" s="3" t="s">
        <v>4284</v>
      </c>
      <c r="C1538" s="1" t="s">
        <v>4285</v>
      </c>
      <c r="D1538" s="1" t="s">
        <v>7276</v>
      </c>
      <c r="E1538" s="1" t="str">
        <f>"6545"</f>
        <v>6545</v>
      </c>
      <c r="F1538" s="1" t="str">
        <f>"016320167"</f>
        <v>016320167</v>
      </c>
      <c r="G1538" s="1" t="s">
        <v>1046</v>
      </c>
      <c r="H1538" s="1" t="s">
        <v>19</v>
      </c>
      <c r="I1538" s="3" t="str">
        <f>"100"</f>
        <v>100</v>
      </c>
      <c r="J1538" s="3">
        <v>422.49</v>
      </c>
      <c r="K1538" s="2">
        <v>45881</v>
      </c>
      <c r="L1538" s="2">
        <v>45891</v>
      </c>
      <c r="M1538" s="1" t="s">
        <v>7275</v>
      </c>
      <c r="N1538" s="1" t="s">
        <v>7274</v>
      </c>
    </row>
    <row r="1539" spans="1:14" x14ac:dyDescent="0.35">
      <c r="A1539" s="1" t="s">
        <v>4321</v>
      </c>
      <c r="B1539" s="3" t="s">
        <v>93</v>
      </c>
      <c r="C1539" s="1" t="s">
        <v>203</v>
      </c>
      <c r="D1539" s="1" t="s">
        <v>7273</v>
      </c>
      <c r="E1539" s="1" t="str">
        <f>"4020"</f>
        <v>4020</v>
      </c>
      <c r="F1539" s="1" t="s">
        <v>7272</v>
      </c>
      <c r="G1539" s="1" t="s">
        <v>7271</v>
      </c>
      <c r="H1539" s="1" t="s">
        <v>15</v>
      </c>
      <c r="I1539" s="3" t="str">
        <f>"2"</f>
        <v>2</v>
      </c>
      <c r="J1539" s="3" t="str">
        <f>"50"</f>
        <v>50</v>
      </c>
      <c r="K1539" s="2">
        <v>45881</v>
      </c>
      <c r="L1539" s="2">
        <v>45891</v>
      </c>
      <c r="M1539" s="1" t="s">
        <v>7270</v>
      </c>
      <c r="N1539" s="1" t="s">
        <v>7269</v>
      </c>
    </row>
    <row r="1540" spans="1:14" x14ac:dyDescent="0.35">
      <c r="A1540" s="1" t="s">
        <v>4321</v>
      </c>
      <c r="B1540" s="3" t="s">
        <v>2494</v>
      </c>
      <c r="C1540" s="1" t="s">
        <v>7268</v>
      </c>
      <c r="D1540" s="1" t="s">
        <v>7267</v>
      </c>
      <c r="E1540" s="1" t="str">
        <f>"6545"</f>
        <v>6545</v>
      </c>
      <c r="F1540" s="1" t="str">
        <f>"016320167"</f>
        <v>016320167</v>
      </c>
      <c r="G1540" s="1" t="s">
        <v>1046</v>
      </c>
      <c r="H1540" s="1" t="s">
        <v>19</v>
      </c>
      <c r="I1540" s="3" t="str">
        <f>"40"</f>
        <v>40</v>
      </c>
      <c r="J1540" s="3">
        <v>422.49</v>
      </c>
      <c r="K1540" s="2">
        <v>45881</v>
      </c>
      <c r="L1540" s="2">
        <v>45891</v>
      </c>
      <c r="M1540" s="1" t="s">
        <v>7266</v>
      </c>
      <c r="N1540" s="1" t="s">
        <v>7265</v>
      </c>
    </row>
    <row r="1541" spans="1:14" x14ac:dyDescent="0.35">
      <c r="A1541" s="1" t="s">
        <v>4321</v>
      </c>
      <c r="B1541" s="3" t="s">
        <v>2720</v>
      </c>
      <c r="C1541" s="1" t="s">
        <v>2757</v>
      </c>
      <c r="D1541" s="1" t="s">
        <v>7264</v>
      </c>
      <c r="E1541" s="1" t="str">
        <f>"6545"</f>
        <v>6545</v>
      </c>
      <c r="F1541" s="1" t="str">
        <f>"016320167"</f>
        <v>016320167</v>
      </c>
      <c r="G1541" s="1" t="s">
        <v>1046</v>
      </c>
      <c r="H1541" s="1" t="s">
        <v>19</v>
      </c>
      <c r="I1541" s="3" t="str">
        <f>"100"</f>
        <v>100</v>
      </c>
      <c r="J1541" s="3">
        <v>422.49</v>
      </c>
      <c r="K1541" s="2">
        <v>45880</v>
      </c>
      <c r="L1541" s="2">
        <v>45891</v>
      </c>
      <c r="M1541" s="1" t="s">
        <v>7263</v>
      </c>
      <c r="N1541" s="1" t="s">
        <v>4343</v>
      </c>
    </row>
    <row r="1542" spans="1:14" x14ac:dyDescent="0.35">
      <c r="A1542" s="1" t="s">
        <v>4321</v>
      </c>
      <c r="B1542" s="3" t="s">
        <v>2638</v>
      </c>
      <c r="C1542" s="1" t="s">
        <v>2666</v>
      </c>
      <c r="D1542" s="1" t="s">
        <v>7262</v>
      </c>
      <c r="E1542" s="1" t="str">
        <f>"6545"</f>
        <v>6545</v>
      </c>
      <c r="F1542" s="1" t="str">
        <f>"016320167"</f>
        <v>016320167</v>
      </c>
      <c r="G1542" s="1" t="s">
        <v>1046</v>
      </c>
      <c r="H1542" s="1" t="s">
        <v>19</v>
      </c>
      <c r="I1542" s="3" t="str">
        <f>"20"</f>
        <v>20</v>
      </c>
      <c r="J1542" s="3">
        <v>422.49</v>
      </c>
      <c r="K1542" s="2">
        <v>45880</v>
      </c>
      <c r="L1542" s="2">
        <v>45891</v>
      </c>
      <c r="M1542" s="1" t="s">
        <v>7261</v>
      </c>
      <c r="N1542" s="1" t="s">
        <v>7260</v>
      </c>
    </row>
    <row r="1543" spans="1:14" x14ac:dyDescent="0.35">
      <c r="A1543" s="1" t="s">
        <v>4321</v>
      </c>
      <c r="B1543" s="3" t="s">
        <v>2494</v>
      </c>
      <c r="C1543" s="1" t="s">
        <v>2600</v>
      </c>
      <c r="D1543" s="1" t="s">
        <v>7259</v>
      </c>
      <c r="E1543" s="1" t="str">
        <f>"6545"</f>
        <v>6545</v>
      </c>
      <c r="F1543" s="1" t="str">
        <f>"016320167"</f>
        <v>016320167</v>
      </c>
      <c r="G1543" s="1" t="s">
        <v>1046</v>
      </c>
      <c r="H1543" s="1" t="s">
        <v>19</v>
      </c>
      <c r="I1543" s="3" t="str">
        <f>"12"</f>
        <v>12</v>
      </c>
      <c r="J1543" s="3">
        <v>422.49</v>
      </c>
      <c r="K1543" s="2">
        <v>45880</v>
      </c>
      <c r="L1543" s="2">
        <v>45891</v>
      </c>
      <c r="M1543" s="1" t="s">
        <v>7258</v>
      </c>
      <c r="N1543" s="1" t="s">
        <v>7257</v>
      </c>
    </row>
    <row r="1544" spans="1:14" x14ac:dyDescent="0.35">
      <c r="A1544" s="1" t="s">
        <v>4321</v>
      </c>
      <c r="B1544" s="3" t="s">
        <v>1445</v>
      </c>
      <c r="C1544" s="1" t="s">
        <v>1459</v>
      </c>
      <c r="D1544" s="1" t="s">
        <v>7256</v>
      </c>
      <c r="E1544" s="1" t="str">
        <f>"1240"</f>
        <v>1240</v>
      </c>
      <c r="F1544" s="1" t="str">
        <f>"015751105"</f>
        <v>015751105</v>
      </c>
      <c r="G1544" s="1" t="s">
        <v>208</v>
      </c>
      <c r="H1544" s="1" t="s">
        <v>15</v>
      </c>
      <c r="I1544" s="3" t="str">
        <f>"2"</f>
        <v>2</v>
      </c>
      <c r="J1544" s="3" t="str">
        <f>"7974"</f>
        <v>7974</v>
      </c>
      <c r="K1544" s="2">
        <v>45879</v>
      </c>
      <c r="L1544" s="2">
        <v>45891</v>
      </c>
      <c r="M1544" s="1" t="s">
        <v>7255</v>
      </c>
      <c r="N1544" s="1" t="s">
        <v>7254</v>
      </c>
    </row>
    <row r="1545" spans="1:14" x14ac:dyDescent="0.35">
      <c r="A1545" s="1" t="s">
        <v>4321</v>
      </c>
      <c r="B1545" s="3" t="s">
        <v>5157</v>
      </c>
      <c r="C1545" s="1" t="s">
        <v>5156</v>
      </c>
      <c r="D1545" s="1" t="s">
        <v>7253</v>
      </c>
      <c r="E1545" s="1" t="str">
        <f>"6545"</f>
        <v>6545</v>
      </c>
      <c r="F1545" s="1" t="str">
        <f>"016320167"</f>
        <v>016320167</v>
      </c>
      <c r="G1545" s="1" t="s">
        <v>1046</v>
      </c>
      <c r="H1545" s="1" t="s">
        <v>19</v>
      </c>
      <c r="I1545" s="3" t="str">
        <f>"60"</f>
        <v>60</v>
      </c>
      <c r="J1545" s="3">
        <v>422.49</v>
      </c>
      <c r="K1545" s="2">
        <v>45879</v>
      </c>
      <c r="L1545" s="2">
        <v>45891</v>
      </c>
      <c r="M1545" s="1" t="s">
        <v>7252</v>
      </c>
      <c r="N1545" s="1" t="s">
        <v>7251</v>
      </c>
    </row>
    <row r="1546" spans="1:14" x14ac:dyDescent="0.35">
      <c r="A1546" s="1" t="s">
        <v>4321</v>
      </c>
      <c r="B1546" s="3" t="s">
        <v>2987</v>
      </c>
      <c r="C1546" s="1" t="s">
        <v>3065</v>
      </c>
      <c r="D1546" s="1" t="s">
        <v>7250</v>
      </c>
      <c r="E1546" s="1" t="str">
        <f>"8465"</f>
        <v>8465</v>
      </c>
      <c r="F1546" s="1" t="str">
        <f>"016797709"</f>
        <v>016797709</v>
      </c>
      <c r="G1546" s="1" t="s">
        <v>975</v>
      </c>
      <c r="H1546" s="1" t="s">
        <v>15</v>
      </c>
      <c r="I1546" s="3" t="str">
        <f>"11"</f>
        <v>11</v>
      </c>
      <c r="J1546" s="3">
        <v>375.67</v>
      </c>
      <c r="K1546" s="2">
        <v>45878</v>
      </c>
      <c r="L1546" s="2">
        <v>45891</v>
      </c>
      <c r="M1546" s="1" t="s">
        <v>7247</v>
      </c>
      <c r="N1546" s="1" t="s">
        <v>7249</v>
      </c>
    </row>
    <row r="1547" spans="1:14" x14ac:dyDescent="0.35">
      <c r="A1547" s="1" t="s">
        <v>4321</v>
      </c>
      <c r="B1547" s="3" t="s">
        <v>2987</v>
      </c>
      <c r="C1547" s="1" t="s">
        <v>3065</v>
      </c>
      <c r="D1547" s="1" t="s">
        <v>7248</v>
      </c>
      <c r="E1547" s="1" t="str">
        <f>"8465"</f>
        <v>8465</v>
      </c>
      <c r="F1547" s="1" t="str">
        <f>"016797717"</f>
        <v>016797717</v>
      </c>
      <c r="G1547" s="1" t="s">
        <v>975</v>
      </c>
      <c r="H1547" s="1" t="s">
        <v>15</v>
      </c>
      <c r="I1547" s="3" t="str">
        <f>"7"</f>
        <v>7</v>
      </c>
      <c r="J1547" s="3">
        <v>386.91</v>
      </c>
      <c r="K1547" s="2">
        <v>45878</v>
      </c>
      <c r="L1547" s="2">
        <v>45891</v>
      </c>
      <c r="M1547" s="1" t="s">
        <v>7247</v>
      </c>
      <c r="N1547" s="1" t="s">
        <v>7246</v>
      </c>
    </row>
    <row r="1548" spans="1:14" x14ac:dyDescent="0.35">
      <c r="A1548" s="1" t="s">
        <v>4321</v>
      </c>
      <c r="B1548" s="3" t="s">
        <v>806</v>
      </c>
      <c r="C1548" s="1" t="s">
        <v>7245</v>
      </c>
      <c r="D1548" s="1" t="s">
        <v>7244</v>
      </c>
      <c r="E1548" s="1" t="str">
        <f>"8465"</f>
        <v>8465</v>
      </c>
      <c r="F1548" s="1" t="str">
        <f>"015250577"</f>
        <v>015250577</v>
      </c>
      <c r="G1548" s="1" t="s">
        <v>7243</v>
      </c>
      <c r="H1548" s="1" t="s">
        <v>15</v>
      </c>
      <c r="I1548" s="3" t="str">
        <f>"28"</f>
        <v>28</v>
      </c>
      <c r="J1548" s="3">
        <v>44.05</v>
      </c>
      <c r="K1548" s="2">
        <v>45873</v>
      </c>
      <c r="L1548" s="2">
        <v>45891</v>
      </c>
      <c r="M1548" s="1" t="s">
        <v>7242</v>
      </c>
      <c r="N1548" s="1" t="s">
        <v>7241</v>
      </c>
    </row>
    <row r="1549" spans="1:14" x14ac:dyDescent="0.35">
      <c r="A1549" s="1" t="s">
        <v>4321</v>
      </c>
      <c r="B1549" s="3" t="s">
        <v>2145</v>
      </c>
      <c r="C1549" s="1" t="s">
        <v>2220</v>
      </c>
      <c r="D1549" s="1" t="s">
        <v>7240</v>
      </c>
      <c r="E1549" s="1" t="str">
        <f>"6530"</f>
        <v>6530</v>
      </c>
      <c r="F1549" s="1" t="s">
        <v>25</v>
      </c>
      <c r="G1549" s="1" t="s">
        <v>26</v>
      </c>
      <c r="H1549" s="1" t="s">
        <v>15</v>
      </c>
      <c r="I1549" s="3" t="str">
        <f>"4"</f>
        <v>4</v>
      </c>
      <c r="J1549" s="3" t="str">
        <f>"1200"</f>
        <v>1200</v>
      </c>
      <c r="K1549" s="2">
        <v>45868</v>
      </c>
      <c r="L1549" s="2">
        <v>45891</v>
      </c>
      <c r="M1549" s="1" t="s">
        <v>7239</v>
      </c>
      <c r="N1549" s="1" t="s">
        <v>7238</v>
      </c>
    </row>
    <row r="1550" spans="1:14" x14ac:dyDescent="0.35">
      <c r="A1550" s="1" t="s">
        <v>4321</v>
      </c>
      <c r="B1550" s="3" t="s">
        <v>1699</v>
      </c>
      <c r="C1550" s="1" t="s">
        <v>1807</v>
      </c>
      <c r="D1550" s="1" t="s">
        <v>7237</v>
      </c>
      <c r="E1550" s="1" t="str">
        <f>"2320"</f>
        <v>2320</v>
      </c>
      <c r="F1550" s="1" t="str">
        <f>"009261015"</f>
        <v>009261015</v>
      </c>
      <c r="G1550" s="1" t="s">
        <v>373</v>
      </c>
      <c r="H1550" s="1" t="s">
        <v>15</v>
      </c>
      <c r="I1550" s="3" t="str">
        <f>"1"</f>
        <v>1</v>
      </c>
      <c r="J1550" s="3" t="str">
        <f>"3312"</f>
        <v>3312</v>
      </c>
      <c r="K1550" s="2">
        <v>45854</v>
      </c>
      <c r="L1550" s="2">
        <v>45891</v>
      </c>
      <c r="M1550" s="1" t="s">
        <v>7236</v>
      </c>
      <c r="N1550" s="1" t="s">
        <v>7235</v>
      </c>
    </row>
    <row r="1551" spans="1:14" x14ac:dyDescent="0.35">
      <c r="A1551" s="1" t="s">
        <v>4321</v>
      </c>
      <c r="B1551" s="3" t="s">
        <v>2248</v>
      </c>
      <c r="C1551" s="1" t="s">
        <v>2265</v>
      </c>
      <c r="D1551" s="1" t="s">
        <v>7234</v>
      </c>
      <c r="E1551" s="1" t="str">
        <f>"6230"</f>
        <v>6230</v>
      </c>
      <c r="F1551" s="1" t="str">
        <f>"015894822"</f>
        <v>015894822</v>
      </c>
      <c r="G1551" s="1" t="s">
        <v>310</v>
      </c>
      <c r="H1551" s="1" t="s">
        <v>15</v>
      </c>
      <c r="I1551" s="3" t="str">
        <f>"10"</f>
        <v>10</v>
      </c>
      <c r="J1551" s="3">
        <v>889.39</v>
      </c>
      <c r="K1551" s="2">
        <v>45853</v>
      </c>
      <c r="L1551" s="2">
        <v>45891</v>
      </c>
      <c r="M1551" s="1" t="s">
        <v>7231</v>
      </c>
      <c r="N1551" s="1" t="s">
        <v>7233</v>
      </c>
    </row>
    <row r="1552" spans="1:14" x14ac:dyDescent="0.35">
      <c r="A1552" s="1" t="s">
        <v>4321</v>
      </c>
      <c r="B1552" s="3" t="s">
        <v>2248</v>
      </c>
      <c r="C1552" s="1" t="s">
        <v>2265</v>
      </c>
      <c r="D1552" s="1" t="s">
        <v>7232</v>
      </c>
      <c r="E1552" s="1" t="str">
        <f>"6230"</f>
        <v>6230</v>
      </c>
      <c r="F1552" s="1" t="str">
        <f>"015894822"</f>
        <v>015894822</v>
      </c>
      <c r="G1552" s="1" t="s">
        <v>310</v>
      </c>
      <c r="H1552" s="1" t="s">
        <v>15</v>
      </c>
      <c r="I1552" s="3" t="str">
        <f>"25"</f>
        <v>25</v>
      </c>
      <c r="J1552" s="3">
        <v>889.39</v>
      </c>
      <c r="K1552" s="2">
        <v>45849</v>
      </c>
      <c r="L1552" s="2">
        <v>45891</v>
      </c>
      <c r="M1552" s="1" t="s">
        <v>7231</v>
      </c>
      <c r="N1552" s="1" t="s">
        <v>7230</v>
      </c>
    </row>
    <row r="1553" spans="1:14" x14ac:dyDescent="0.35">
      <c r="A1553" s="1" t="s">
        <v>4321</v>
      </c>
      <c r="B1553" s="3" t="s">
        <v>1857</v>
      </c>
      <c r="C1553" s="1" t="s">
        <v>1918</v>
      </c>
      <c r="D1553" s="1" t="s">
        <v>7229</v>
      </c>
      <c r="E1553" s="1" t="str">
        <f>"1005"</f>
        <v>1005</v>
      </c>
      <c r="F1553" s="1" t="str">
        <f>"015617200"</f>
        <v>015617200</v>
      </c>
      <c r="G1553" s="1" t="s">
        <v>4601</v>
      </c>
      <c r="H1553" s="1" t="s">
        <v>15</v>
      </c>
      <c r="I1553" s="3" t="str">
        <f>"20"</f>
        <v>20</v>
      </c>
      <c r="J1553" s="3">
        <v>16.170000000000002</v>
      </c>
      <c r="K1553" s="2">
        <v>45889</v>
      </c>
      <c r="L1553" s="2">
        <v>45890</v>
      </c>
      <c r="M1553" s="1" t="s">
        <v>7228</v>
      </c>
    </row>
    <row r="1554" spans="1:14" x14ac:dyDescent="0.35">
      <c r="A1554" s="1" t="s">
        <v>4321</v>
      </c>
      <c r="B1554" s="3" t="s">
        <v>4308</v>
      </c>
      <c r="C1554" s="1" t="s">
        <v>4309</v>
      </c>
      <c r="D1554" s="1" t="s">
        <v>7227</v>
      </c>
      <c r="E1554" s="1" t="str">
        <f>"2310"</f>
        <v>2310</v>
      </c>
      <c r="F1554" s="1" t="s">
        <v>413</v>
      </c>
      <c r="G1554" s="1" t="s">
        <v>414</v>
      </c>
      <c r="H1554" s="1" t="s">
        <v>15</v>
      </c>
      <c r="I1554" s="3" t="str">
        <f>"1"</f>
        <v>1</v>
      </c>
      <c r="J1554" s="3" t="str">
        <f>"21488"</f>
        <v>21488</v>
      </c>
      <c r="K1554" s="2">
        <v>45888</v>
      </c>
      <c r="L1554" s="2">
        <v>45890</v>
      </c>
      <c r="M1554" s="1" t="s">
        <v>7226</v>
      </c>
      <c r="N1554" s="1" t="s">
        <v>4343</v>
      </c>
    </row>
    <row r="1555" spans="1:14" x14ac:dyDescent="0.35">
      <c r="A1555" s="1" t="s">
        <v>4321</v>
      </c>
      <c r="B1555" s="3" t="s">
        <v>3885</v>
      </c>
      <c r="C1555" s="1" t="s">
        <v>4022</v>
      </c>
      <c r="D1555" s="1" t="s">
        <v>7225</v>
      </c>
      <c r="E1555" s="1" t="str">
        <f>"6115"</f>
        <v>6115</v>
      </c>
      <c r="F1555" s="1" t="str">
        <f>"015857540"</f>
        <v>015857540</v>
      </c>
      <c r="G1555" s="1" t="s">
        <v>5678</v>
      </c>
      <c r="H1555" s="1" t="s">
        <v>15</v>
      </c>
      <c r="I1555" s="3" t="str">
        <f>"1"</f>
        <v>1</v>
      </c>
      <c r="J1555" s="3">
        <v>454.18</v>
      </c>
      <c r="K1555" s="2">
        <v>45888</v>
      </c>
      <c r="L1555" s="2">
        <v>45890</v>
      </c>
      <c r="M1555" s="1" t="s">
        <v>7224</v>
      </c>
      <c r="N1555" s="1" t="s">
        <v>7223</v>
      </c>
    </row>
    <row r="1556" spans="1:14" x14ac:dyDescent="0.35">
      <c r="A1556" s="1" t="s">
        <v>4321</v>
      </c>
      <c r="B1556" s="3" t="s">
        <v>3885</v>
      </c>
      <c r="C1556" s="1" t="s">
        <v>4022</v>
      </c>
      <c r="D1556" s="1" t="s">
        <v>7225</v>
      </c>
      <c r="E1556" s="1" t="str">
        <f>"6115"</f>
        <v>6115</v>
      </c>
      <c r="F1556" s="1" t="str">
        <f>"015857540"</f>
        <v>015857540</v>
      </c>
      <c r="G1556" s="1" t="s">
        <v>5678</v>
      </c>
      <c r="H1556" s="1" t="s">
        <v>15</v>
      </c>
      <c r="I1556" s="3" t="str">
        <f>"1"</f>
        <v>1</v>
      </c>
      <c r="J1556" s="3">
        <v>454.18</v>
      </c>
      <c r="K1556" s="2">
        <v>45888</v>
      </c>
      <c r="L1556" s="2">
        <v>45890</v>
      </c>
      <c r="M1556" s="1" t="s">
        <v>7224</v>
      </c>
      <c r="N1556" s="1" t="s">
        <v>7223</v>
      </c>
    </row>
    <row r="1557" spans="1:14" x14ac:dyDescent="0.35">
      <c r="A1557" s="1" t="s">
        <v>4321</v>
      </c>
      <c r="B1557" s="3" t="s">
        <v>3885</v>
      </c>
      <c r="C1557" s="1" t="s">
        <v>4022</v>
      </c>
      <c r="D1557" s="1" t="s">
        <v>7222</v>
      </c>
      <c r="E1557" s="1" t="str">
        <f>"3940"</f>
        <v>3940</v>
      </c>
      <c r="F1557" s="1" t="s">
        <v>7221</v>
      </c>
      <c r="G1557" s="1" t="s">
        <v>7220</v>
      </c>
      <c r="H1557" s="1" t="s">
        <v>15</v>
      </c>
      <c r="I1557" s="3" t="str">
        <f>"1"</f>
        <v>1</v>
      </c>
      <c r="J1557" s="3" t="str">
        <f>"7867"</f>
        <v>7867</v>
      </c>
      <c r="K1557" s="2">
        <v>45887</v>
      </c>
      <c r="L1557" s="2">
        <v>45890</v>
      </c>
      <c r="M1557" s="1" t="s">
        <v>7219</v>
      </c>
      <c r="N1557" s="1" t="s">
        <v>7218</v>
      </c>
    </row>
    <row r="1558" spans="1:14" x14ac:dyDescent="0.35">
      <c r="A1558" s="1" t="s">
        <v>4321</v>
      </c>
      <c r="B1558" s="3" t="s">
        <v>3885</v>
      </c>
      <c r="C1558" s="1" t="s">
        <v>4022</v>
      </c>
      <c r="D1558" s="1" t="s">
        <v>7222</v>
      </c>
      <c r="E1558" s="1" t="str">
        <f>"3940"</f>
        <v>3940</v>
      </c>
      <c r="F1558" s="1" t="s">
        <v>7221</v>
      </c>
      <c r="G1558" s="1" t="s">
        <v>7220</v>
      </c>
      <c r="H1558" s="1" t="s">
        <v>15</v>
      </c>
      <c r="I1558" s="3" t="str">
        <f>"1"</f>
        <v>1</v>
      </c>
      <c r="J1558" s="3" t="str">
        <f>"7867"</f>
        <v>7867</v>
      </c>
      <c r="K1558" s="2">
        <v>45887</v>
      </c>
      <c r="L1558" s="2">
        <v>45890</v>
      </c>
      <c r="M1558" s="1" t="s">
        <v>7219</v>
      </c>
      <c r="N1558" s="1" t="s">
        <v>7218</v>
      </c>
    </row>
    <row r="1559" spans="1:14" x14ac:dyDescent="0.35">
      <c r="A1559" s="1" t="s">
        <v>4321</v>
      </c>
      <c r="B1559" s="3" t="s">
        <v>3885</v>
      </c>
      <c r="C1559" s="1" t="s">
        <v>4022</v>
      </c>
      <c r="D1559" s="1" t="s">
        <v>7217</v>
      </c>
      <c r="E1559" s="1" t="str">
        <f>"5180"</f>
        <v>5180</v>
      </c>
      <c r="F1559" s="1" t="str">
        <f>"008769336"</f>
        <v>008769336</v>
      </c>
      <c r="G1559" s="1" t="s">
        <v>7216</v>
      </c>
      <c r="H1559" s="1" t="s">
        <v>19</v>
      </c>
      <c r="I1559" s="3" t="str">
        <f>"1"</f>
        <v>1</v>
      </c>
      <c r="J1559" s="3">
        <v>1528.03</v>
      </c>
      <c r="K1559" s="2">
        <v>45887</v>
      </c>
      <c r="L1559" s="2">
        <v>45890</v>
      </c>
      <c r="M1559" s="1" t="s">
        <v>7208</v>
      </c>
      <c r="N1559" s="1" t="s">
        <v>7215</v>
      </c>
    </row>
    <row r="1560" spans="1:14" x14ac:dyDescent="0.35">
      <c r="A1560" s="1" t="s">
        <v>4321</v>
      </c>
      <c r="B1560" s="3" t="s">
        <v>3885</v>
      </c>
      <c r="C1560" s="1" t="s">
        <v>4022</v>
      </c>
      <c r="D1560" s="1" t="s">
        <v>7217</v>
      </c>
      <c r="E1560" s="1" t="str">
        <f>"5180"</f>
        <v>5180</v>
      </c>
      <c r="F1560" s="1" t="str">
        <f>"008769336"</f>
        <v>008769336</v>
      </c>
      <c r="G1560" s="1" t="s">
        <v>7216</v>
      </c>
      <c r="H1560" s="1" t="s">
        <v>19</v>
      </c>
      <c r="I1560" s="3" t="str">
        <f>"1"</f>
        <v>1</v>
      </c>
      <c r="J1560" s="3">
        <v>1528.03</v>
      </c>
      <c r="K1560" s="2">
        <v>45887</v>
      </c>
      <c r="L1560" s="2">
        <v>45890</v>
      </c>
      <c r="M1560" s="1" t="s">
        <v>7208</v>
      </c>
      <c r="N1560" s="1" t="s">
        <v>7215</v>
      </c>
    </row>
    <row r="1561" spans="1:14" x14ac:dyDescent="0.35">
      <c r="A1561" s="1" t="s">
        <v>4321</v>
      </c>
      <c r="B1561" s="3" t="s">
        <v>3885</v>
      </c>
      <c r="C1561" s="1" t="s">
        <v>4022</v>
      </c>
      <c r="D1561" s="1" t="s">
        <v>7214</v>
      </c>
      <c r="E1561" s="1" t="str">
        <f>"4940"</f>
        <v>4940</v>
      </c>
      <c r="F1561" s="1" t="str">
        <f>"001372900"</f>
        <v>001372900</v>
      </c>
      <c r="G1561" s="1" t="s">
        <v>7213</v>
      </c>
      <c r="H1561" s="1" t="s">
        <v>15</v>
      </c>
      <c r="I1561" s="3" t="str">
        <f>"1"</f>
        <v>1</v>
      </c>
      <c r="J1561" s="3" t="str">
        <f>"120"</f>
        <v>120</v>
      </c>
      <c r="K1561" s="2">
        <v>45887</v>
      </c>
      <c r="L1561" s="2">
        <v>45890</v>
      </c>
      <c r="M1561" s="1" t="s">
        <v>7212</v>
      </c>
      <c r="N1561" s="1" t="s">
        <v>7211</v>
      </c>
    </row>
    <row r="1562" spans="1:14" x14ac:dyDescent="0.35">
      <c r="A1562" s="1" t="s">
        <v>4321</v>
      </c>
      <c r="B1562" s="3" t="s">
        <v>3885</v>
      </c>
      <c r="C1562" s="1" t="s">
        <v>4022</v>
      </c>
      <c r="D1562" s="1" t="s">
        <v>7214</v>
      </c>
      <c r="E1562" s="1" t="str">
        <f>"4940"</f>
        <v>4940</v>
      </c>
      <c r="F1562" s="1" t="str">
        <f>"001372900"</f>
        <v>001372900</v>
      </c>
      <c r="G1562" s="1" t="s">
        <v>7213</v>
      </c>
      <c r="H1562" s="1" t="s">
        <v>15</v>
      </c>
      <c r="I1562" s="3" t="str">
        <f>"1"</f>
        <v>1</v>
      </c>
      <c r="J1562" s="3" t="str">
        <f>"120"</f>
        <v>120</v>
      </c>
      <c r="K1562" s="2">
        <v>45887</v>
      </c>
      <c r="L1562" s="2">
        <v>45890</v>
      </c>
      <c r="M1562" s="1" t="s">
        <v>7212</v>
      </c>
      <c r="N1562" s="1" t="s">
        <v>7211</v>
      </c>
    </row>
    <row r="1563" spans="1:14" x14ac:dyDescent="0.35">
      <c r="A1563" s="1" t="s">
        <v>4321</v>
      </c>
      <c r="B1563" s="3" t="s">
        <v>3885</v>
      </c>
      <c r="C1563" s="1" t="s">
        <v>4022</v>
      </c>
      <c r="D1563" s="1" t="s">
        <v>7210</v>
      </c>
      <c r="E1563" s="1" t="str">
        <f>"5180"</f>
        <v>5180</v>
      </c>
      <c r="F1563" s="1" t="str">
        <f>"009215771"</f>
        <v>009215771</v>
      </c>
      <c r="G1563" s="1" t="s">
        <v>7209</v>
      </c>
      <c r="H1563" s="1" t="s">
        <v>19</v>
      </c>
      <c r="I1563" s="3" t="str">
        <f>"1"</f>
        <v>1</v>
      </c>
      <c r="J1563" s="3">
        <v>1101.44</v>
      </c>
      <c r="K1563" s="2">
        <v>45887</v>
      </c>
      <c r="L1563" s="2">
        <v>45890</v>
      </c>
      <c r="M1563" s="1" t="s">
        <v>7208</v>
      </c>
      <c r="N1563" s="1" t="s">
        <v>7207</v>
      </c>
    </row>
    <row r="1564" spans="1:14" x14ac:dyDescent="0.35">
      <c r="A1564" s="1" t="s">
        <v>4321</v>
      </c>
      <c r="B1564" s="3" t="s">
        <v>3885</v>
      </c>
      <c r="C1564" s="1" t="s">
        <v>4022</v>
      </c>
      <c r="D1564" s="1" t="s">
        <v>7210</v>
      </c>
      <c r="E1564" s="1" t="str">
        <f>"5180"</f>
        <v>5180</v>
      </c>
      <c r="F1564" s="1" t="str">
        <f>"009215771"</f>
        <v>009215771</v>
      </c>
      <c r="G1564" s="1" t="s">
        <v>7209</v>
      </c>
      <c r="H1564" s="1" t="s">
        <v>19</v>
      </c>
      <c r="I1564" s="3" t="str">
        <f>"1"</f>
        <v>1</v>
      </c>
      <c r="J1564" s="3">
        <v>1101.44</v>
      </c>
      <c r="K1564" s="2">
        <v>45887</v>
      </c>
      <c r="L1564" s="2">
        <v>45890</v>
      </c>
      <c r="M1564" s="1" t="s">
        <v>7208</v>
      </c>
      <c r="N1564" s="1" t="s">
        <v>7207</v>
      </c>
    </row>
    <row r="1565" spans="1:14" x14ac:dyDescent="0.35">
      <c r="A1565" s="1" t="s">
        <v>4321</v>
      </c>
      <c r="B1565" s="3" t="s">
        <v>3885</v>
      </c>
      <c r="C1565" s="1" t="s">
        <v>4022</v>
      </c>
      <c r="D1565" s="1" t="s">
        <v>7206</v>
      </c>
      <c r="E1565" s="1" t="str">
        <f>"6515"</f>
        <v>6515</v>
      </c>
      <c r="F1565" s="1" t="s">
        <v>7205</v>
      </c>
      <c r="G1565" s="1" t="s">
        <v>1214</v>
      </c>
      <c r="H1565" s="1" t="s">
        <v>1269</v>
      </c>
      <c r="I1565" s="3" t="str">
        <f>"4"</f>
        <v>4</v>
      </c>
      <c r="J1565" s="3">
        <v>282.43</v>
      </c>
      <c r="K1565" s="2">
        <v>45887</v>
      </c>
      <c r="L1565" s="2">
        <v>45890</v>
      </c>
      <c r="M1565" s="1" t="s">
        <v>7204</v>
      </c>
      <c r="N1565" s="1" t="s">
        <v>7203</v>
      </c>
    </row>
    <row r="1566" spans="1:14" x14ac:dyDescent="0.35">
      <c r="A1566" s="1" t="s">
        <v>4321</v>
      </c>
      <c r="B1566" s="3" t="s">
        <v>3885</v>
      </c>
      <c r="C1566" s="1" t="s">
        <v>4022</v>
      </c>
      <c r="D1566" s="1" t="s">
        <v>7206</v>
      </c>
      <c r="E1566" s="1" t="str">
        <f>"6515"</f>
        <v>6515</v>
      </c>
      <c r="F1566" s="1" t="s">
        <v>7205</v>
      </c>
      <c r="G1566" s="1" t="s">
        <v>1214</v>
      </c>
      <c r="H1566" s="1" t="s">
        <v>1269</v>
      </c>
      <c r="I1566" s="3" t="str">
        <f>"4"</f>
        <v>4</v>
      </c>
      <c r="J1566" s="3">
        <v>282.43</v>
      </c>
      <c r="K1566" s="2">
        <v>45887</v>
      </c>
      <c r="L1566" s="2">
        <v>45890</v>
      </c>
      <c r="M1566" s="1" t="s">
        <v>7204</v>
      </c>
      <c r="N1566" s="1" t="s">
        <v>7203</v>
      </c>
    </row>
    <row r="1567" spans="1:14" x14ac:dyDescent="0.35">
      <c r="A1567" s="1" t="s">
        <v>4321</v>
      </c>
      <c r="B1567" s="3" t="s">
        <v>3885</v>
      </c>
      <c r="C1567" s="1" t="s">
        <v>4022</v>
      </c>
      <c r="D1567" s="1" t="s">
        <v>7202</v>
      </c>
      <c r="E1567" s="1" t="str">
        <f>"8465"</f>
        <v>8465</v>
      </c>
      <c r="F1567" s="1" t="str">
        <f>"016007830"</f>
        <v>016007830</v>
      </c>
      <c r="G1567" s="1" t="s">
        <v>303</v>
      </c>
      <c r="H1567" s="1" t="s">
        <v>15</v>
      </c>
      <c r="I1567" s="3" t="str">
        <f>"21"</f>
        <v>21</v>
      </c>
      <c r="J1567" s="3">
        <v>128.33000000000001</v>
      </c>
      <c r="K1567" s="2">
        <v>45887</v>
      </c>
      <c r="L1567" s="2">
        <v>45890</v>
      </c>
      <c r="M1567" s="1" t="s">
        <v>7201</v>
      </c>
      <c r="N1567" s="1" t="s">
        <v>7200</v>
      </c>
    </row>
    <row r="1568" spans="1:14" x14ac:dyDescent="0.35">
      <c r="A1568" s="1" t="s">
        <v>4321</v>
      </c>
      <c r="B1568" s="3" t="s">
        <v>3885</v>
      </c>
      <c r="C1568" s="1" t="s">
        <v>4022</v>
      </c>
      <c r="D1568" s="1" t="s">
        <v>7202</v>
      </c>
      <c r="E1568" s="1" t="str">
        <f>"8465"</f>
        <v>8465</v>
      </c>
      <c r="F1568" s="1" t="str">
        <f>"016007830"</f>
        <v>016007830</v>
      </c>
      <c r="G1568" s="1" t="s">
        <v>303</v>
      </c>
      <c r="H1568" s="1" t="s">
        <v>15</v>
      </c>
      <c r="I1568" s="3" t="str">
        <f>"21"</f>
        <v>21</v>
      </c>
      <c r="J1568" s="3">
        <v>128.33000000000001</v>
      </c>
      <c r="K1568" s="2">
        <v>45887</v>
      </c>
      <c r="L1568" s="2">
        <v>45890</v>
      </c>
      <c r="M1568" s="1" t="s">
        <v>7201</v>
      </c>
      <c r="N1568" s="1" t="s">
        <v>7200</v>
      </c>
    </row>
    <row r="1569" spans="1:14" x14ac:dyDescent="0.35">
      <c r="A1569" s="1" t="s">
        <v>4321</v>
      </c>
      <c r="B1569" s="3" t="s">
        <v>5157</v>
      </c>
      <c r="C1569" s="1" t="s">
        <v>5156</v>
      </c>
      <c r="D1569" s="1" t="s">
        <v>7199</v>
      </c>
      <c r="E1569" s="1" t="str">
        <f>"4240"</f>
        <v>4240</v>
      </c>
      <c r="F1569" s="1" t="str">
        <f>"016786048"</f>
        <v>016786048</v>
      </c>
      <c r="G1569" s="1" t="s">
        <v>214</v>
      </c>
      <c r="H1569" s="1" t="s">
        <v>15</v>
      </c>
      <c r="I1569" s="3" t="str">
        <f>"3"</f>
        <v>3</v>
      </c>
      <c r="J1569" s="3">
        <v>219.88</v>
      </c>
      <c r="K1569" s="2">
        <v>45886</v>
      </c>
      <c r="L1569" s="2">
        <v>45890</v>
      </c>
      <c r="M1569" s="1" t="s">
        <v>7198</v>
      </c>
      <c r="N1569" s="1" t="s">
        <v>7197</v>
      </c>
    </row>
    <row r="1570" spans="1:14" x14ac:dyDescent="0.35">
      <c r="A1570" s="1" t="s">
        <v>4321</v>
      </c>
      <c r="B1570" s="3" t="s">
        <v>2987</v>
      </c>
      <c r="C1570" s="1" t="s">
        <v>3065</v>
      </c>
      <c r="D1570" s="1" t="s">
        <v>7196</v>
      </c>
      <c r="E1570" s="1" t="str">
        <f>"4240"</f>
        <v>4240</v>
      </c>
      <c r="F1570" s="1" t="str">
        <f>"016786048"</f>
        <v>016786048</v>
      </c>
      <c r="G1570" s="1" t="s">
        <v>214</v>
      </c>
      <c r="H1570" s="1" t="s">
        <v>15</v>
      </c>
      <c r="I1570" s="3" t="str">
        <f>"3"</f>
        <v>3</v>
      </c>
      <c r="J1570" s="3">
        <v>219.88</v>
      </c>
      <c r="K1570" s="2">
        <v>45886</v>
      </c>
      <c r="L1570" s="2">
        <v>45890</v>
      </c>
      <c r="M1570" s="1" t="s">
        <v>7195</v>
      </c>
      <c r="N1570" s="1" t="s">
        <v>7194</v>
      </c>
    </row>
    <row r="1571" spans="1:14" x14ac:dyDescent="0.35">
      <c r="A1571" s="1" t="s">
        <v>4321</v>
      </c>
      <c r="B1571" s="3" t="s">
        <v>2987</v>
      </c>
      <c r="C1571" s="1" t="s">
        <v>3065</v>
      </c>
      <c r="D1571" s="1" t="s">
        <v>7193</v>
      </c>
      <c r="E1571" s="1" t="str">
        <f>"5965"</f>
        <v>5965</v>
      </c>
      <c r="F1571" s="1" t="str">
        <f>"226297499"</f>
        <v>226297499</v>
      </c>
      <c r="G1571" s="1" t="s">
        <v>22</v>
      </c>
      <c r="H1571" s="1" t="s">
        <v>15</v>
      </c>
      <c r="I1571" s="3" t="str">
        <f>"6"</f>
        <v>6</v>
      </c>
      <c r="J1571" s="3">
        <v>2219.81</v>
      </c>
      <c r="K1571" s="2">
        <v>45884</v>
      </c>
      <c r="L1571" s="2">
        <v>45890</v>
      </c>
      <c r="M1571" s="1" t="s">
        <v>3087</v>
      </c>
      <c r="N1571" s="1" t="s">
        <v>7192</v>
      </c>
    </row>
    <row r="1572" spans="1:14" x14ac:dyDescent="0.35">
      <c r="A1572" s="1" t="s">
        <v>4321</v>
      </c>
      <c r="B1572" s="3" t="s">
        <v>806</v>
      </c>
      <c r="C1572" s="1" t="s">
        <v>866</v>
      </c>
      <c r="D1572" s="1" t="s">
        <v>7191</v>
      </c>
      <c r="E1572" s="1" t="str">
        <f>"8465"</f>
        <v>8465</v>
      </c>
      <c r="F1572" s="1" t="str">
        <f>"016207978"</f>
        <v>016207978</v>
      </c>
      <c r="G1572" s="1" t="s">
        <v>2124</v>
      </c>
      <c r="H1572" s="1" t="s">
        <v>19</v>
      </c>
      <c r="I1572" s="3" t="str">
        <f>"3"</f>
        <v>3</v>
      </c>
      <c r="J1572" s="3">
        <v>983.95</v>
      </c>
      <c r="K1572" s="2">
        <v>45881</v>
      </c>
      <c r="L1572" s="2">
        <v>45890</v>
      </c>
      <c r="M1572" s="1" t="s">
        <v>7190</v>
      </c>
      <c r="N1572" s="1" t="s">
        <v>4343</v>
      </c>
    </row>
    <row r="1573" spans="1:14" x14ac:dyDescent="0.35">
      <c r="A1573" s="1" t="s">
        <v>4321</v>
      </c>
      <c r="B1573" s="3" t="s">
        <v>806</v>
      </c>
      <c r="C1573" s="1" t="s">
        <v>866</v>
      </c>
      <c r="D1573" s="1" t="s">
        <v>7189</v>
      </c>
      <c r="E1573" s="1" t="str">
        <f>"8465"</f>
        <v>8465</v>
      </c>
      <c r="F1573" s="1" t="str">
        <f>"016408201"</f>
        <v>016408201</v>
      </c>
      <c r="G1573" s="1" t="s">
        <v>2060</v>
      </c>
      <c r="H1573" s="1" t="s">
        <v>15</v>
      </c>
      <c r="I1573" s="3" t="str">
        <f>"11"</f>
        <v>11</v>
      </c>
      <c r="J1573" s="3">
        <v>263.8</v>
      </c>
      <c r="K1573" s="2">
        <v>45881</v>
      </c>
      <c r="L1573" s="2">
        <v>45890</v>
      </c>
      <c r="M1573" s="1" t="s">
        <v>7188</v>
      </c>
      <c r="N1573" s="1" t="s">
        <v>4343</v>
      </c>
    </row>
    <row r="1574" spans="1:14" x14ac:dyDescent="0.35">
      <c r="A1574" s="1" t="s">
        <v>4321</v>
      </c>
      <c r="B1574" s="3" t="s">
        <v>1699</v>
      </c>
      <c r="C1574" s="1" t="s">
        <v>1726</v>
      </c>
      <c r="D1574" s="1" t="s">
        <v>7187</v>
      </c>
      <c r="E1574" s="1" t="str">
        <f>"3930"</f>
        <v>3930</v>
      </c>
      <c r="F1574" s="1" t="s">
        <v>150</v>
      </c>
      <c r="G1574" s="1" t="s">
        <v>151</v>
      </c>
      <c r="H1574" s="1" t="s">
        <v>15</v>
      </c>
      <c r="I1574" s="3" t="str">
        <f>"1"</f>
        <v>1</v>
      </c>
      <c r="J1574" s="3">
        <v>24922.7</v>
      </c>
      <c r="K1574" s="2">
        <v>45880</v>
      </c>
      <c r="L1574" s="2">
        <v>45890</v>
      </c>
      <c r="M1574" s="1" t="s">
        <v>7186</v>
      </c>
      <c r="N1574" s="1" t="s">
        <v>7185</v>
      </c>
    </row>
    <row r="1575" spans="1:14" x14ac:dyDescent="0.35">
      <c r="A1575" s="1" t="s">
        <v>4321</v>
      </c>
      <c r="B1575" s="3" t="s">
        <v>3513</v>
      </c>
      <c r="C1575" s="1" t="s">
        <v>3684</v>
      </c>
      <c r="D1575" s="1" t="s">
        <v>7184</v>
      </c>
      <c r="E1575" s="1" t="str">
        <f>"2930"</f>
        <v>2930</v>
      </c>
      <c r="F1575" s="1" t="str">
        <f>"012855027"</f>
        <v>012855027</v>
      </c>
      <c r="G1575" s="1" t="s">
        <v>7183</v>
      </c>
      <c r="H1575" s="1" t="s">
        <v>15</v>
      </c>
      <c r="I1575" s="3" t="str">
        <f>"4"</f>
        <v>4</v>
      </c>
      <c r="J1575" s="3">
        <v>494.38</v>
      </c>
      <c r="K1575" s="2">
        <v>45880</v>
      </c>
      <c r="L1575" s="2">
        <v>45890</v>
      </c>
      <c r="M1575" s="1" t="s">
        <v>7182</v>
      </c>
      <c r="N1575" s="1" t="s">
        <v>7181</v>
      </c>
    </row>
    <row r="1576" spans="1:14" x14ac:dyDescent="0.35">
      <c r="A1576" s="1" t="s">
        <v>4321</v>
      </c>
      <c r="B1576" s="3" t="s">
        <v>1445</v>
      </c>
      <c r="C1576" s="1" t="s">
        <v>1459</v>
      </c>
      <c r="D1576" s="1" t="s">
        <v>7180</v>
      </c>
      <c r="E1576" s="1" t="str">
        <f>"7025"</f>
        <v>7025</v>
      </c>
      <c r="F1576" s="1" t="s">
        <v>1589</v>
      </c>
      <c r="G1576" s="1" t="s">
        <v>1590</v>
      </c>
      <c r="H1576" s="1" t="s">
        <v>15</v>
      </c>
      <c r="I1576" s="3" t="str">
        <f>"1"</f>
        <v>1</v>
      </c>
      <c r="J1576" s="3" t="str">
        <f>"750"</f>
        <v>750</v>
      </c>
      <c r="K1576" s="2">
        <v>45879</v>
      </c>
      <c r="L1576" s="2">
        <v>45890</v>
      </c>
      <c r="M1576" s="1" t="s">
        <v>7179</v>
      </c>
      <c r="N1576" s="1" t="s">
        <v>7178</v>
      </c>
    </row>
    <row r="1577" spans="1:14" x14ac:dyDescent="0.35">
      <c r="A1577" s="1" t="s">
        <v>4321</v>
      </c>
      <c r="B1577" s="3" t="s">
        <v>3183</v>
      </c>
      <c r="C1577" s="1" t="s">
        <v>3184</v>
      </c>
      <c r="D1577" s="1" t="s">
        <v>7177</v>
      </c>
      <c r="E1577" s="1" t="str">
        <f>"3930"</f>
        <v>3930</v>
      </c>
      <c r="F1577" s="1" t="s">
        <v>150</v>
      </c>
      <c r="G1577" s="1" t="s">
        <v>151</v>
      </c>
      <c r="H1577" s="1" t="s">
        <v>15</v>
      </c>
      <c r="I1577" s="3" t="str">
        <f>"1"</f>
        <v>1</v>
      </c>
      <c r="J1577" s="3">
        <v>24922.7</v>
      </c>
      <c r="K1577" s="2">
        <v>45878</v>
      </c>
      <c r="L1577" s="2">
        <v>45890</v>
      </c>
      <c r="M1577" s="1" t="s">
        <v>7176</v>
      </c>
      <c r="N1577" s="1" t="s">
        <v>7175</v>
      </c>
    </row>
    <row r="1578" spans="1:14" x14ac:dyDescent="0.35">
      <c r="A1578" s="1" t="s">
        <v>4321</v>
      </c>
      <c r="B1578" s="3" t="s">
        <v>2248</v>
      </c>
      <c r="C1578" s="1" t="s">
        <v>2278</v>
      </c>
      <c r="D1578" s="1" t="s">
        <v>7174</v>
      </c>
      <c r="E1578" s="1" t="str">
        <f>"6115"</f>
        <v>6115</v>
      </c>
      <c r="F1578" s="1" t="str">
        <f>"015650691"</f>
        <v>015650691</v>
      </c>
      <c r="G1578" s="1" t="s">
        <v>1838</v>
      </c>
      <c r="H1578" s="1" t="s">
        <v>15</v>
      </c>
      <c r="I1578" s="3" t="str">
        <f>"1"</f>
        <v>1</v>
      </c>
      <c r="J1578" s="3" t="str">
        <f>"53500"</f>
        <v>53500</v>
      </c>
      <c r="K1578" s="2">
        <v>45876</v>
      </c>
      <c r="L1578" s="2">
        <v>45890</v>
      </c>
      <c r="M1578" s="1" t="s">
        <v>7173</v>
      </c>
      <c r="N1578" s="1" t="s">
        <v>7172</v>
      </c>
    </row>
    <row r="1579" spans="1:14" x14ac:dyDescent="0.35">
      <c r="A1579" s="1" t="s">
        <v>4321</v>
      </c>
      <c r="B1579" s="3" t="s">
        <v>2248</v>
      </c>
      <c r="C1579" s="1" t="s">
        <v>2278</v>
      </c>
      <c r="D1579" s="1" t="s">
        <v>7171</v>
      </c>
      <c r="E1579" s="1" t="str">
        <f>"6665"</f>
        <v>6665</v>
      </c>
      <c r="F1579" s="1" t="str">
        <f>"123710357"</f>
        <v>123710357</v>
      </c>
      <c r="G1579" s="1" t="s">
        <v>7170</v>
      </c>
      <c r="H1579" s="1" t="s">
        <v>15</v>
      </c>
      <c r="I1579" s="3" t="str">
        <f>"1"</f>
        <v>1</v>
      </c>
      <c r="J1579" s="3">
        <v>35155.5</v>
      </c>
      <c r="K1579" s="2">
        <v>45876</v>
      </c>
      <c r="L1579" s="2">
        <v>45890</v>
      </c>
      <c r="M1579" s="1" t="s">
        <v>7169</v>
      </c>
      <c r="N1579" s="1" t="s">
        <v>7168</v>
      </c>
    </row>
    <row r="1580" spans="1:14" x14ac:dyDescent="0.35">
      <c r="A1580" s="1" t="s">
        <v>4321</v>
      </c>
      <c r="B1580" s="3" t="s">
        <v>3513</v>
      </c>
      <c r="C1580" s="1" t="s">
        <v>3684</v>
      </c>
      <c r="D1580" s="1" t="s">
        <v>7167</v>
      </c>
      <c r="E1580" s="1" t="str">
        <f>"2530"</f>
        <v>2530</v>
      </c>
      <c r="F1580" s="1" t="str">
        <f>"012844399"</f>
        <v>012844399</v>
      </c>
      <c r="G1580" s="1" t="s">
        <v>7166</v>
      </c>
      <c r="H1580" s="1" t="s">
        <v>15</v>
      </c>
      <c r="I1580" s="3" t="str">
        <f>"1"</f>
        <v>1</v>
      </c>
      <c r="J1580" s="3">
        <v>586.99</v>
      </c>
      <c r="K1580" s="2">
        <v>45873</v>
      </c>
      <c r="L1580" s="2">
        <v>45890</v>
      </c>
      <c r="M1580" s="1" t="s">
        <v>7165</v>
      </c>
      <c r="N1580" s="1" t="s">
        <v>7164</v>
      </c>
    </row>
    <row r="1581" spans="1:14" x14ac:dyDescent="0.35">
      <c r="A1581" s="1" t="s">
        <v>4321</v>
      </c>
      <c r="B1581" s="3" t="s">
        <v>3513</v>
      </c>
      <c r="C1581" s="1" t="s">
        <v>3684</v>
      </c>
      <c r="D1581" s="1" t="s">
        <v>7163</v>
      </c>
      <c r="E1581" s="1" t="str">
        <f>"9320"</f>
        <v>9320</v>
      </c>
      <c r="F1581" s="1" t="s">
        <v>7162</v>
      </c>
      <c r="G1581" s="1" t="s">
        <v>7161</v>
      </c>
      <c r="H1581" s="1" t="s">
        <v>15</v>
      </c>
      <c r="I1581" s="3" t="str">
        <f>"3"</f>
        <v>3</v>
      </c>
      <c r="J1581" s="3" t="str">
        <f>"200"</f>
        <v>200</v>
      </c>
      <c r="K1581" s="2">
        <v>45868</v>
      </c>
      <c r="L1581" s="2">
        <v>45890</v>
      </c>
      <c r="M1581" s="1" t="s">
        <v>7160</v>
      </c>
      <c r="N1581" s="1" t="s">
        <v>7159</v>
      </c>
    </row>
    <row r="1582" spans="1:14" x14ac:dyDescent="0.35">
      <c r="A1582" s="1" t="s">
        <v>4321</v>
      </c>
      <c r="B1582" s="3" t="s">
        <v>2987</v>
      </c>
      <c r="C1582" s="1" t="s">
        <v>3002</v>
      </c>
      <c r="D1582" s="1" t="s">
        <v>7158</v>
      </c>
      <c r="E1582" s="1" t="str">
        <f>"2320"</f>
        <v>2320</v>
      </c>
      <c r="F1582" s="1" t="str">
        <f>"014187400"</f>
        <v>014187400</v>
      </c>
      <c r="G1582" s="1" t="s">
        <v>604</v>
      </c>
      <c r="H1582" s="1" t="s">
        <v>15</v>
      </c>
      <c r="I1582" s="3" t="str">
        <f>"1"</f>
        <v>1</v>
      </c>
      <c r="J1582" s="3" t="str">
        <f>"188000"</f>
        <v>188000</v>
      </c>
      <c r="K1582" s="2">
        <v>45867</v>
      </c>
      <c r="L1582" s="2">
        <v>45890</v>
      </c>
      <c r="M1582" s="1" t="s">
        <v>3004</v>
      </c>
      <c r="N1582" s="1" t="s">
        <v>7157</v>
      </c>
    </row>
    <row r="1583" spans="1:14" x14ac:dyDescent="0.35">
      <c r="A1583" s="1" t="s">
        <v>4321</v>
      </c>
      <c r="B1583" s="3" t="s">
        <v>2987</v>
      </c>
      <c r="C1583" s="1" t="s">
        <v>3002</v>
      </c>
      <c r="D1583" s="1" t="s">
        <v>7156</v>
      </c>
      <c r="E1583" s="1" t="str">
        <f>"2320"</f>
        <v>2320</v>
      </c>
      <c r="F1583" s="1" t="str">
        <f>"014187400"</f>
        <v>014187400</v>
      </c>
      <c r="G1583" s="1" t="s">
        <v>604</v>
      </c>
      <c r="H1583" s="1" t="s">
        <v>15</v>
      </c>
      <c r="I1583" s="3" t="str">
        <f>"1"</f>
        <v>1</v>
      </c>
      <c r="J1583" s="3" t="str">
        <f>"188000"</f>
        <v>188000</v>
      </c>
      <c r="K1583" s="2">
        <v>45867</v>
      </c>
      <c r="L1583" s="2">
        <v>45890</v>
      </c>
      <c r="M1583" s="1" t="s">
        <v>3004</v>
      </c>
      <c r="N1583" s="1" t="s">
        <v>7155</v>
      </c>
    </row>
    <row r="1584" spans="1:14" x14ac:dyDescent="0.35">
      <c r="A1584" s="1" t="s">
        <v>4321</v>
      </c>
      <c r="B1584" s="3" t="s">
        <v>2494</v>
      </c>
      <c r="C1584" s="1" t="s">
        <v>5795</v>
      </c>
      <c r="D1584" s="1" t="s">
        <v>7154</v>
      </c>
      <c r="E1584" s="1" t="str">
        <f>"2320"</f>
        <v>2320</v>
      </c>
      <c r="F1584" s="1" t="str">
        <f>"014474938"</f>
        <v>014474938</v>
      </c>
      <c r="G1584" s="1" t="s">
        <v>117</v>
      </c>
      <c r="H1584" s="1" t="s">
        <v>15</v>
      </c>
      <c r="I1584" s="3" t="str">
        <f>"1"</f>
        <v>1</v>
      </c>
      <c r="J1584" s="3" t="str">
        <f>"230363"</f>
        <v>230363</v>
      </c>
      <c r="K1584" s="2">
        <v>45864</v>
      </c>
      <c r="L1584" s="2">
        <v>45890</v>
      </c>
      <c r="M1584" s="1" t="s">
        <v>7153</v>
      </c>
      <c r="N1584" s="1" t="s">
        <v>7152</v>
      </c>
    </row>
    <row r="1585" spans="1:14" x14ac:dyDescent="0.35">
      <c r="A1585" s="1" t="s">
        <v>4321</v>
      </c>
      <c r="B1585" s="3" t="s">
        <v>1857</v>
      </c>
      <c r="C1585" s="1" t="s">
        <v>1869</v>
      </c>
      <c r="D1585" s="1" t="s">
        <v>7151</v>
      </c>
      <c r="E1585" s="1" t="str">
        <f>"2320"</f>
        <v>2320</v>
      </c>
      <c r="F1585" s="1" t="str">
        <f>"011762223"</f>
        <v>011762223</v>
      </c>
      <c r="G1585" s="1" t="s">
        <v>117</v>
      </c>
      <c r="H1585" s="1" t="s">
        <v>15</v>
      </c>
      <c r="I1585" s="3" t="str">
        <f>"1"</f>
        <v>1</v>
      </c>
      <c r="J1585" s="3" t="str">
        <f>"33082"</f>
        <v>33082</v>
      </c>
      <c r="K1585" s="2">
        <v>45817</v>
      </c>
      <c r="L1585" s="2">
        <v>45890</v>
      </c>
      <c r="M1585" s="1" t="s">
        <v>7150</v>
      </c>
      <c r="N1585" s="1" t="s">
        <v>7149</v>
      </c>
    </row>
    <row r="1586" spans="1:14" x14ac:dyDescent="0.35">
      <c r="A1586" s="1" t="s">
        <v>4321</v>
      </c>
      <c r="B1586" s="3" t="s">
        <v>2000</v>
      </c>
      <c r="C1586" s="1" t="s">
        <v>2035</v>
      </c>
      <c r="D1586" s="1" t="s">
        <v>7148</v>
      </c>
      <c r="E1586" s="1" t="str">
        <f>"8145"</f>
        <v>8145</v>
      </c>
      <c r="F1586" s="1" t="str">
        <f>"010163451"</f>
        <v>010163451</v>
      </c>
      <c r="G1586" s="1" t="s">
        <v>599</v>
      </c>
      <c r="H1586" s="1" t="s">
        <v>15</v>
      </c>
      <c r="I1586" s="3" t="str">
        <f>"1"</f>
        <v>1</v>
      </c>
      <c r="J1586" s="3" t="str">
        <f>"443"</f>
        <v>443</v>
      </c>
      <c r="K1586" s="2">
        <v>45887</v>
      </c>
      <c r="L1586" s="2">
        <v>45889</v>
      </c>
      <c r="M1586" s="1" t="s">
        <v>7147</v>
      </c>
      <c r="N1586" s="1" t="s">
        <v>7146</v>
      </c>
    </row>
    <row r="1587" spans="1:14" x14ac:dyDescent="0.35">
      <c r="A1587" s="1" t="s">
        <v>4321</v>
      </c>
      <c r="B1587" s="3" t="s">
        <v>2000</v>
      </c>
      <c r="C1587" s="1" t="s">
        <v>2035</v>
      </c>
      <c r="D1587" s="1" t="s">
        <v>7148</v>
      </c>
      <c r="E1587" s="1" t="str">
        <f>"8145"</f>
        <v>8145</v>
      </c>
      <c r="F1587" s="1" t="str">
        <f>"010163451"</f>
        <v>010163451</v>
      </c>
      <c r="G1587" s="1" t="s">
        <v>599</v>
      </c>
      <c r="H1587" s="1" t="s">
        <v>15</v>
      </c>
      <c r="I1587" s="3" t="str">
        <f>"1"</f>
        <v>1</v>
      </c>
      <c r="J1587" s="3" t="str">
        <f>"443"</f>
        <v>443</v>
      </c>
      <c r="K1587" s="2">
        <v>45887</v>
      </c>
      <c r="L1587" s="2">
        <v>45889</v>
      </c>
      <c r="M1587" s="1" t="s">
        <v>7147</v>
      </c>
      <c r="N1587" s="1" t="s">
        <v>7146</v>
      </c>
    </row>
    <row r="1588" spans="1:14" x14ac:dyDescent="0.35">
      <c r="A1588" s="1" t="s">
        <v>4321</v>
      </c>
      <c r="B1588" s="3" t="s">
        <v>2000</v>
      </c>
      <c r="C1588" s="1" t="s">
        <v>2035</v>
      </c>
      <c r="D1588" s="1" t="s">
        <v>7145</v>
      </c>
      <c r="E1588" s="1" t="str">
        <f>"4235"</f>
        <v>4235</v>
      </c>
      <c r="F1588" s="1" t="str">
        <f>"011583502"</f>
        <v>011583502</v>
      </c>
      <c r="G1588" s="1" t="s">
        <v>4545</v>
      </c>
      <c r="H1588" s="1" t="s">
        <v>4191</v>
      </c>
      <c r="I1588" s="3" t="str">
        <f>"60"</f>
        <v>60</v>
      </c>
      <c r="J1588" s="3">
        <v>37.86</v>
      </c>
      <c r="K1588" s="2">
        <v>45887</v>
      </c>
      <c r="L1588" s="2">
        <v>45889</v>
      </c>
      <c r="M1588" s="1" t="s">
        <v>7144</v>
      </c>
      <c r="N1588" s="1" t="s">
        <v>7143</v>
      </c>
    </row>
    <row r="1589" spans="1:14" x14ac:dyDescent="0.35">
      <c r="A1589" s="1" t="s">
        <v>4321</v>
      </c>
      <c r="B1589" s="3" t="s">
        <v>2000</v>
      </c>
      <c r="C1589" s="1" t="s">
        <v>2035</v>
      </c>
      <c r="D1589" s="1" t="s">
        <v>7145</v>
      </c>
      <c r="E1589" s="1" t="str">
        <f>"4235"</f>
        <v>4235</v>
      </c>
      <c r="F1589" s="1" t="str">
        <f>"011583502"</f>
        <v>011583502</v>
      </c>
      <c r="G1589" s="1" t="s">
        <v>4545</v>
      </c>
      <c r="H1589" s="1" t="s">
        <v>4191</v>
      </c>
      <c r="I1589" s="3" t="str">
        <f>"60"</f>
        <v>60</v>
      </c>
      <c r="J1589" s="3">
        <v>37.86</v>
      </c>
      <c r="K1589" s="2">
        <v>45887</v>
      </c>
      <c r="L1589" s="2">
        <v>45889</v>
      </c>
      <c r="M1589" s="1" t="s">
        <v>7144</v>
      </c>
      <c r="N1589" s="1" t="s">
        <v>7143</v>
      </c>
    </row>
    <row r="1590" spans="1:14" x14ac:dyDescent="0.35">
      <c r="A1590" s="1" t="s">
        <v>4321</v>
      </c>
      <c r="B1590" s="3" t="s">
        <v>4087</v>
      </c>
      <c r="C1590" s="1" t="s">
        <v>4143</v>
      </c>
      <c r="D1590" s="1" t="s">
        <v>7142</v>
      </c>
      <c r="E1590" s="1" t="str">
        <f>"6230"</f>
        <v>6230</v>
      </c>
      <c r="F1590" s="1" t="str">
        <f>"015560542"</f>
        <v>015560542</v>
      </c>
      <c r="G1590" s="1" t="s">
        <v>538</v>
      </c>
      <c r="H1590" s="1" t="s">
        <v>15</v>
      </c>
      <c r="I1590" s="3" t="str">
        <f>"7"</f>
        <v>7</v>
      </c>
      <c r="J1590" s="3">
        <v>234.34</v>
      </c>
      <c r="K1590" s="2">
        <v>45887</v>
      </c>
      <c r="L1590" s="2">
        <v>45889</v>
      </c>
      <c r="M1590" s="1" t="s">
        <v>7141</v>
      </c>
      <c r="N1590" s="1" t="s">
        <v>7140</v>
      </c>
    </row>
    <row r="1591" spans="1:14" x14ac:dyDescent="0.35">
      <c r="A1591" s="1" t="s">
        <v>4321</v>
      </c>
      <c r="B1591" s="3" t="s">
        <v>2987</v>
      </c>
      <c r="C1591" s="1" t="s">
        <v>7139</v>
      </c>
      <c r="D1591" s="1" t="s">
        <v>7138</v>
      </c>
      <c r="E1591" s="1" t="str">
        <f>"7830"</f>
        <v>7830</v>
      </c>
      <c r="F1591" s="1" t="s">
        <v>4083</v>
      </c>
      <c r="G1591" s="1" t="s">
        <v>4084</v>
      </c>
      <c r="H1591" s="1" t="s">
        <v>15</v>
      </c>
      <c r="I1591" s="3" t="str">
        <f>"1"</f>
        <v>1</v>
      </c>
      <c r="J1591" s="3" t="str">
        <f>"1000"</f>
        <v>1000</v>
      </c>
      <c r="K1591" s="2">
        <v>45887</v>
      </c>
      <c r="L1591" s="2">
        <v>45889</v>
      </c>
      <c r="M1591" s="1" t="s">
        <v>7137</v>
      </c>
      <c r="N1591" s="1" t="s">
        <v>4343</v>
      </c>
    </row>
    <row r="1592" spans="1:14" x14ac:dyDescent="0.35">
      <c r="A1592" s="1" t="s">
        <v>4321</v>
      </c>
      <c r="B1592" s="3" t="s">
        <v>1317</v>
      </c>
      <c r="C1592" s="1" t="s">
        <v>1318</v>
      </c>
      <c r="D1592" s="1" t="s">
        <v>7136</v>
      </c>
      <c r="E1592" s="1" t="str">
        <f>"3438"</f>
        <v>3438</v>
      </c>
      <c r="F1592" s="1" t="s">
        <v>480</v>
      </c>
      <c r="G1592" s="1" t="s">
        <v>481</v>
      </c>
      <c r="H1592" s="1" t="s">
        <v>15</v>
      </c>
      <c r="I1592" s="3" t="str">
        <f>"1"</f>
        <v>1</v>
      </c>
      <c r="J1592" s="3" t="str">
        <f>"25000"</f>
        <v>25000</v>
      </c>
      <c r="K1592" s="2">
        <v>45884</v>
      </c>
      <c r="L1592" s="2">
        <v>45889</v>
      </c>
      <c r="M1592" s="1" t="s">
        <v>7135</v>
      </c>
      <c r="N1592" s="1" t="s">
        <v>7134</v>
      </c>
    </row>
    <row r="1593" spans="1:14" x14ac:dyDescent="0.35">
      <c r="A1593" s="1" t="s">
        <v>4321</v>
      </c>
      <c r="B1593" s="3" t="s">
        <v>1445</v>
      </c>
      <c r="C1593" s="1" t="s">
        <v>1459</v>
      </c>
      <c r="D1593" s="1" t="s">
        <v>7133</v>
      </c>
      <c r="E1593" s="1" t="str">
        <f>"6720"</f>
        <v>6720</v>
      </c>
      <c r="F1593" s="1" t="s">
        <v>443</v>
      </c>
      <c r="G1593" s="1" t="s">
        <v>444</v>
      </c>
      <c r="H1593" s="1" t="s">
        <v>15</v>
      </c>
      <c r="I1593" s="3" t="str">
        <f>"6"</f>
        <v>6</v>
      </c>
      <c r="J1593" s="3" t="str">
        <f>"1540"</f>
        <v>1540</v>
      </c>
      <c r="K1593" s="2">
        <v>45879</v>
      </c>
      <c r="L1593" s="2">
        <v>45889</v>
      </c>
      <c r="M1593" s="1" t="s">
        <v>7132</v>
      </c>
      <c r="N1593" s="1" t="s">
        <v>7131</v>
      </c>
    </row>
    <row r="1594" spans="1:14" x14ac:dyDescent="0.35">
      <c r="A1594" s="1" t="s">
        <v>4321</v>
      </c>
      <c r="B1594" s="3" t="s">
        <v>1445</v>
      </c>
      <c r="C1594" s="1" t="s">
        <v>1459</v>
      </c>
      <c r="D1594" s="1" t="s">
        <v>7130</v>
      </c>
      <c r="E1594" s="1" t="str">
        <f>"8145"</f>
        <v>8145</v>
      </c>
      <c r="F1594" s="1" t="s">
        <v>743</v>
      </c>
      <c r="G1594" s="1" t="s">
        <v>744</v>
      </c>
      <c r="H1594" s="1" t="s">
        <v>15</v>
      </c>
      <c r="I1594" s="3" t="str">
        <f>"1"</f>
        <v>1</v>
      </c>
      <c r="J1594" s="3" t="str">
        <f>"500"</f>
        <v>500</v>
      </c>
      <c r="K1594" s="2">
        <v>45879</v>
      </c>
      <c r="L1594" s="2">
        <v>45889</v>
      </c>
      <c r="M1594" s="1" t="s">
        <v>1597</v>
      </c>
      <c r="N1594" s="1" t="s">
        <v>7129</v>
      </c>
    </row>
    <row r="1595" spans="1:14" x14ac:dyDescent="0.35">
      <c r="A1595" s="1" t="s">
        <v>4321</v>
      </c>
      <c r="B1595" s="3" t="s">
        <v>3513</v>
      </c>
      <c r="C1595" s="1" t="s">
        <v>3672</v>
      </c>
      <c r="D1595" s="1" t="s">
        <v>7128</v>
      </c>
      <c r="E1595" s="1" t="str">
        <f>"8150"</f>
        <v>8150</v>
      </c>
      <c r="F1595" s="1" t="str">
        <f>"014638555"</f>
        <v>014638555</v>
      </c>
      <c r="G1595" s="1" t="s">
        <v>448</v>
      </c>
      <c r="H1595" s="1" t="s">
        <v>15</v>
      </c>
      <c r="I1595" s="3" t="str">
        <f>"2"</f>
        <v>2</v>
      </c>
      <c r="J1595" s="3">
        <v>11480.33</v>
      </c>
      <c r="K1595" s="2">
        <v>45877</v>
      </c>
      <c r="L1595" s="2">
        <v>45889</v>
      </c>
      <c r="N1595" s="1" t="s">
        <v>7127</v>
      </c>
    </row>
    <row r="1596" spans="1:14" x14ac:dyDescent="0.35">
      <c r="A1596" s="1" t="s">
        <v>4321</v>
      </c>
      <c r="B1596" s="3" t="s">
        <v>601</v>
      </c>
      <c r="C1596" s="1" t="s">
        <v>602</v>
      </c>
      <c r="D1596" s="1" t="s">
        <v>7126</v>
      </c>
      <c r="E1596" s="1" t="str">
        <f>"2420"</f>
        <v>2420</v>
      </c>
      <c r="F1596" s="1" t="s">
        <v>405</v>
      </c>
      <c r="G1596" s="1" t="s">
        <v>406</v>
      </c>
      <c r="H1596" s="1" t="s">
        <v>15</v>
      </c>
      <c r="I1596" s="3" t="str">
        <f>"1"</f>
        <v>1</v>
      </c>
      <c r="J1596" s="3" t="str">
        <f>"5596"</f>
        <v>5596</v>
      </c>
      <c r="K1596" s="2">
        <v>45869</v>
      </c>
      <c r="L1596" s="2">
        <v>45889</v>
      </c>
      <c r="M1596" s="1" t="s">
        <v>7125</v>
      </c>
      <c r="N1596" s="1" t="s">
        <v>7124</v>
      </c>
    </row>
    <row r="1597" spans="1:14" x14ac:dyDescent="0.35">
      <c r="A1597" s="1" t="s">
        <v>4321</v>
      </c>
      <c r="B1597" s="3" t="s">
        <v>691</v>
      </c>
      <c r="C1597" s="1" t="s">
        <v>731</v>
      </c>
      <c r="D1597" s="1" t="s">
        <v>7123</v>
      </c>
      <c r="E1597" s="1" t="str">
        <f>"8145"</f>
        <v>8145</v>
      </c>
      <c r="F1597" s="1" t="s">
        <v>743</v>
      </c>
      <c r="G1597" s="1" t="s">
        <v>744</v>
      </c>
      <c r="H1597" s="1" t="s">
        <v>15</v>
      </c>
      <c r="I1597" s="3" t="str">
        <f>"2"</f>
        <v>2</v>
      </c>
      <c r="J1597" s="3" t="str">
        <f>"250"</f>
        <v>250</v>
      </c>
      <c r="K1597" s="2">
        <v>45867</v>
      </c>
      <c r="L1597" s="2">
        <v>45889</v>
      </c>
      <c r="M1597" s="1" t="s">
        <v>7122</v>
      </c>
      <c r="N1597" s="1" t="s">
        <v>7121</v>
      </c>
    </row>
    <row r="1598" spans="1:14" x14ac:dyDescent="0.35">
      <c r="A1598" s="1" t="s">
        <v>4321</v>
      </c>
      <c r="B1598" s="3" t="s">
        <v>691</v>
      </c>
      <c r="C1598" s="1" t="s">
        <v>782</v>
      </c>
      <c r="D1598" s="1" t="s">
        <v>7120</v>
      </c>
      <c r="E1598" s="1" t="str">
        <f>"6260"</f>
        <v>6260</v>
      </c>
      <c r="F1598" s="1" t="str">
        <f>"012308596"</f>
        <v>012308596</v>
      </c>
      <c r="G1598" s="1" t="s">
        <v>289</v>
      </c>
      <c r="H1598" s="1" t="s">
        <v>1084</v>
      </c>
      <c r="I1598" s="3" t="str">
        <f>"2"</f>
        <v>2</v>
      </c>
      <c r="J1598" s="3">
        <v>56.36</v>
      </c>
      <c r="K1598" s="2">
        <v>45853</v>
      </c>
      <c r="L1598" s="2">
        <v>45889</v>
      </c>
      <c r="M1598" s="1" t="s">
        <v>7119</v>
      </c>
      <c r="N1598" s="1" t="s">
        <v>7118</v>
      </c>
    </row>
    <row r="1599" spans="1:14" x14ac:dyDescent="0.35">
      <c r="A1599" s="1" t="s">
        <v>4321</v>
      </c>
      <c r="B1599" s="3" t="s">
        <v>3513</v>
      </c>
      <c r="C1599" s="1" t="s">
        <v>7117</v>
      </c>
      <c r="D1599" s="1" t="s">
        <v>7116</v>
      </c>
      <c r="E1599" s="1" t="str">
        <f>"8430"</f>
        <v>8430</v>
      </c>
      <c r="F1599" s="1" t="str">
        <f>"015936086"</f>
        <v>015936086</v>
      </c>
      <c r="G1599" s="1" t="s">
        <v>1431</v>
      </c>
      <c r="H1599" s="1" t="s">
        <v>847</v>
      </c>
      <c r="I1599" s="3" t="str">
        <f>"8"</f>
        <v>8</v>
      </c>
      <c r="J1599" s="3">
        <v>95.75</v>
      </c>
      <c r="K1599" s="2">
        <v>45733</v>
      </c>
      <c r="L1599" s="2">
        <v>45889</v>
      </c>
      <c r="M1599" s="1" t="s">
        <v>7115</v>
      </c>
      <c r="N1599" s="1" t="s">
        <v>7114</v>
      </c>
    </row>
    <row r="1600" spans="1:14" x14ac:dyDescent="0.35">
      <c r="A1600" s="1" t="s">
        <v>4321</v>
      </c>
      <c r="B1600" s="3" t="s">
        <v>2000</v>
      </c>
      <c r="C1600" s="1" t="s">
        <v>2001</v>
      </c>
      <c r="D1600" s="1" t="s">
        <v>7113</v>
      </c>
      <c r="E1600" s="1" t="str">
        <f>"2340"</f>
        <v>2340</v>
      </c>
      <c r="F1600" s="1" t="s">
        <v>439</v>
      </c>
      <c r="G1600" s="1" t="s">
        <v>440</v>
      </c>
      <c r="H1600" s="1" t="s">
        <v>15</v>
      </c>
      <c r="I1600" s="3" t="str">
        <f>"1"</f>
        <v>1</v>
      </c>
      <c r="J1600" s="3" t="str">
        <f>"8000"</f>
        <v>8000</v>
      </c>
      <c r="K1600" s="2">
        <v>45887</v>
      </c>
      <c r="L1600" s="2">
        <v>45888</v>
      </c>
      <c r="M1600" s="1" t="s">
        <v>7112</v>
      </c>
      <c r="N1600" s="1" t="s">
        <v>4387</v>
      </c>
    </row>
    <row r="1601" spans="1:14" x14ac:dyDescent="0.35">
      <c r="A1601" s="1" t="s">
        <v>4321</v>
      </c>
      <c r="B1601" s="3" t="s">
        <v>1857</v>
      </c>
      <c r="C1601" s="1" t="s">
        <v>7111</v>
      </c>
      <c r="D1601" s="1" t="s">
        <v>7110</v>
      </c>
      <c r="E1601" s="1" t="str">
        <f>"1385"</f>
        <v>1385</v>
      </c>
      <c r="F1601" s="1" t="str">
        <f>"015936219"</f>
        <v>015936219</v>
      </c>
      <c r="G1601" s="1" t="s">
        <v>67</v>
      </c>
      <c r="H1601" s="1" t="s">
        <v>15</v>
      </c>
      <c r="I1601" s="3" t="str">
        <f>"1"</f>
        <v>1</v>
      </c>
      <c r="J1601" s="3" t="str">
        <f>"77000"</f>
        <v>77000</v>
      </c>
      <c r="K1601" s="2">
        <v>45887</v>
      </c>
      <c r="L1601" s="2">
        <v>45888</v>
      </c>
      <c r="M1601" s="1" t="s">
        <v>7109</v>
      </c>
    </row>
    <row r="1602" spans="1:14" x14ac:dyDescent="0.35">
      <c r="A1602" s="1" t="s">
        <v>4321</v>
      </c>
      <c r="B1602" s="3" t="s">
        <v>2494</v>
      </c>
      <c r="C1602" s="1" t="s">
        <v>6646</v>
      </c>
      <c r="D1602" s="1" t="s">
        <v>7108</v>
      </c>
      <c r="E1602" s="1" t="str">
        <f>"2340"</f>
        <v>2340</v>
      </c>
      <c r="F1602" s="1" t="s">
        <v>694</v>
      </c>
      <c r="G1602" s="1" t="s">
        <v>695</v>
      </c>
      <c r="H1602" s="1" t="s">
        <v>15</v>
      </c>
      <c r="I1602" s="3" t="str">
        <f>"1"</f>
        <v>1</v>
      </c>
      <c r="J1602" s="3">
        <v>14181.14</v>
      </c>
      <c r="K1602" s="2">
        <v>45887</v>
      </c>
      <c r="L1602" s="2">
        <v>45888</v>
      </c>
      <c r="M1602" s="1" t="s">
        <v>7107</v>
      </c>
      <c r="N1602" s="1" t="s">
        <v>4343</v>
      </c>
    </row>
    <row r="1603" spans="1:14" x14ac:dyDescent="0.35">
      <c r="A1603" s="1" t="s">
        <v>4321</v>
      </c>
      <c r="B1603" s="3" t="s">
        <v>691</v>
      </c>
      <c r="C1603" s="1" t="s">
        <v>714</v>
      </c>
      <c r="D1603" s="1" t="s">
        <v>7106</v>
      </c>
      <c r="E1603" s="1" t="str">
        <f>"2340"</f>
        <v>2340</v>
      </c>
      <c r="F1603" s="1" t="s">
        <v>694</v>
      </c>
      <c r="G1603" s="1" t="s">
        <v>695</v>
      </c>
      <c r="H1603" s="1" t="s">
        <v>15</v>
      </c>
      <c r="I1603" s="3" t="str">
        <f>"1"</f>
        <v>1</v>
      </c>
      <c r="J1603" s="3">
        <v>14181.14</v>
      </c>
      <c r="K1603" s="2">
        <v>45887</v>
      </c>
      <c r="L1603" s="2">
        <v>45888</v>
      </c>
      <c r="M1603" s="1" t="s">
        <v>7105</v>
      </c>
      <c r="N1603" s="1" t="s">
        <v>4343</v>
      </c>
    </row>
    <row r="1604" spans="1:14" x14ac:dyDescent="0.35">
      <c r="A1604" s="1" t="s">
        <v>4321</v>
      </c>
      <c r="B1604" s="3" t="s">
        <v>2494</v>
      </c>
      <c r="C1604" s="1" t="s">
        <v>7104</v>
      </c>
      <c r="D1604" s="1" t="s">
        <v>7103</v>
      </c>
      <c r="E1604" s="1" t="str">
        <f>"2340"</f>
        <v>2340</v>
      </c>
      <c r="F1604" s="1" t="s">
        <v>439</v>
      </c>
      <c r="G1604" s="1" t="s">
        <v>440</v>
      </c>
      <c r="H1604" s="1" t="s">
        <v>15</v>
      </c>
      <c r="I1604" s="3" t="str">
        <f>"1"</f>
        <v>1</v>
      </c>
      <c r="J1604" s="3" t="str">
        <f>"8000"</f>
        <v>8000</v>
      </c>
      <c r="K1604" s="2">
        <v>45887</v>
      </c>
      <c r="L1604" s="2">
        <v>45888</v>
      </c>
      <c r="M1604" s="1" t="s">
        <v>7102</v>
      </c>
      <c r="N1604" s="1" t="s">
        <v>4343</v>
      </c>
    </row>
    <row r="1605" spans="1:14" x14ac:dyDescent="0.35">
      <c r="A1605" s="1" t="s">
        <v>4321</v>
      </c>
      <c r="B1605" s="3" t="s">
        <v>2720</v>
      </c>
      <c r="C1605" s="1" t="s">
        <v>2745</v>
      </c>
      <c r="D1605" s="1" t="s">
        <v>7101</v>
      </c>
      <c r="E1605" s="1" t="str">
        <f>"4240"</f>
        <v>4240</v>
      </c>
      <c r="F1605" s="1" t="str">
        <f>"015835206"</f>
        <v>015835206</v>
      </c>
      <c r="G1605" s="1" t="s">
        <v>214</v>
      </c>
      <c r="H1605" s="1" t="s">
        <v>15</v>
      </c>
      <c r="I1605" s="3" t="str">
        <f>"90"</f>
        <v>90</v>
      </c>
      <c r="J1605" s="3">
        <v>52.5</v>
      </c>
      <c r="K1605" s="2">
        <v>45886</v>
      </c>
      <c r="L1605" s="2">
        <v>45888</v>
      </c>
      <c r="M1605" s="1" t="s">
        <v>7100</v>
      </c>
      <c r="N1605" s="1" t="s">
        <v>4387</v>
      </c>
    </row>
    <row r="1606" spans="1:14" x14ac:dyDescent="0.35">
      <c r="A1606" s="1" t="s">
        <v>4321</v>
      </c>
      <c r="B1606" s="3" t="s">
        <v>2987</v>
      </c>
      <c r="C1606" s="1" t="s">
        <v>3065</v>
      </c>
      <c r="D1606" s="1" t="s">
        <v>7099</v>
      </c>
      <c r="E1606" s="1" t="str">
        <f>"2340"</f>
        <v>2340</v>
      </c>
      <c r="F1606" s="1" t="s">
        <v>439</v>
      </c>
      <c r="G1606" s="1" t="s">
        <v>440</v>
      </c>
      <c r="H1606" s="1" t="s">
        <v>15</v>
      </c>
      <c r="I1606" s="3" t="str">
        <f>"1"</f>
        <v>1</v>
      </c>
      <c r="J1606" s="3" t="str">
        <f>"8000"</f>
        <v>8000</v>
      </c>
      <c r="K1606" s="2">
        <v>45886</v>
      </c>
      <c r="L1606" s="2">
        <v>45888</v>
      </c>
      <c r="M1606" s="1" t="s">
        <v>7098</v>
      </c>
      <c r="N1606" s="1" t="s">
        <v>7097</v>
      </c>
    </row>
    <row r="1607" spans="1:14" x14ac:dyDescent="0.35">
      <c r="A1607" s="1" t="s">
        <v>4321</v>
      </c>
      <c r="B1607" s="3" t="s">
        <v>2114</v>
      </c>
      <c r="C1607" s="1" t="s">
        <v>2115</v>
      </c>
      <c r="D1607" s="1" t="s">
        <v>7096</v>
      </c>
      <c r="E1607" s="1" t="str">
        <f>"4240"</f>
        <v>4240</v>
      </c>
      <c r="F1607" s="1" t="str">
        <f>"015835206"</f>
        <v>015835206</v>
      </c>
      <c r="G1607" s="1" t="s">
        <v>214</v>
      </c>
      <c r="H1607" s="1" t="s">
        <v>15</v>
      </c>
      <c r="I1607" s="3" t="str">
        <f>"30"</f>
        <v>30</v>
      </c>
      <c r="J1607" s="3">
        <v>52.5</v>
      </c>
      <c r="K1607" s="2">
        <v>45885</v>
      </c>
      <c r="L1607" s="2">
        <v>45888</v>
      </c>
      <c r="M1607" s="1" t="s">
        <v>7095</v>
      </c>
      <c r="N1607" s="1" t="s">
        <v>4343</v>
      </c>
    </row>
    <row r="1608" spans="1:14" x14ac:dyDescent="0.35">
      <c r="A1608" s="1" t="s">
        <v>4321</v>
      </c>
      <c r="B1608" s="3" t="s">
        <v>3183</v>
      </c>
      <c r="C1608" s="1" t="s">
        <v>3435</v>
      </c>
      <c r="D1608" s="1" t="s">
        <v>7094</v>
      </c>
      <c r="E1608" s="1" t="str">
        <f>"2340"</f>
        <v>2340</v>
      </c>
      <c r="F1608" s="1" t="s">
        <v>439</v>
      </c>
      <c r="G1608" s="1" t="s">
        <v>440</v>
      </c>
      <c r="H1608" s="1" t="s">
        <v>15</v>
      </c>
      <c r="I1608" s="3" t="str">
        <f>"1"</f>
        <v>1</v>
      </c>
      <c r="J1608" s="3" t="str">
        <f>"8000"</f>
        <v>8000</v>
      </c>
      <c r="K1608" s="2">
        <v>45885</v>
      </c>
      <c r="L1608" s="2">
        <v>45888</v>
      </c>
      <c r="M1608" s="1" t="s">
        <v>7093</v>
      </c>
      <c r="N1608" s="1" t="s">
        <v>7092</v>
      </c>
    </row>
    <row r="1609" spans="1:14" x14ac:dyDescent="0.35">
      <c r="A1609" s="1" t="s">
        <v>4321</v>
      </c>
      <c r="B1609" s="3" t="s">
        <v>2720</v>
      </c>
      <c r="C1609" s="1" t="s">
        <v>2931</v>
      </c>
      <c r="D1609" s="1" t="s">
        <v>7091</v>
      </c>
      <c r="E1609" s="1" t="str">
        <f>"4240"</f>
        <v>4240</v>
      </c>
      <c r="F1609" s="1" t="str">
        <f>"015835206"</f>
        <v>015835206</v>
      </c>
      <c r="G1609" s="1" t="s">
        <v>214</v>
      </c>
      <c r="H1609" s="1" t="s">
        <v>15</v>
      </c>
      <c r="I1609" s="3" t="str">
        <f>"50"</f>
        <v>50</v>
      </c>
      <c r="J1609" s="3">
        <v>52.5</v>
      </c>
      <c r="K1609" s="2">
        <v>45885</v>
      </c>
      <c r="L1609" s="2">
        <v>45888</v>
      </c>
      <c r="M1609" s="1" t="s">
        <v>7090</v>
      </c>
      <c r="N1609" s="1" t="s">
        <v>4343</v>
      </c>
    </row>
    <row r="1610" spans="1:14" x14ac:dyDescent="0.35">
      <c r="A1610" s="1" t="s">
        <v>4321</v>
      </c>
      <c r="B1610" s="3" t="s">
        <v>3885</v>
      </c>
      <c r="C1610" s="1" t="s">
        <v>4074</v>
      </c>
      <c r="D1610" s="1" t="s">
        <v>7089</v>
      </c>
      <c r="E1610" s="1" t="str">
        <f>"5140"</f>
        <v>5140</v>
      </c>
      <c r="F1610" s="1" t="s">
        <v>161</v>
      </c>
      <c r="G1610" s="1" t="s">
        <v>162</v>
      </c>
      <c r="H1610" s="1" t="s">
        <v>15</v>
      </c>
      <c r="I1610" s="3" t="str">
        <f>"5"</f>
        <v>5</v>
      </c>
      <c r="J1610" s="3">
        <v>4016.97</v>
      </c>
      <c r="K1610" s="2">
        <v>45881</v>
      </c>
      <c r="L1610" s="2">
        <v>45888</v>
      </c>
      <c r="M1610" s="1" t="s">
        <v>7088</v>
      </c>
      <c r="N1610" s="1" t="s">
        <v>7087</v>
      </c>
    </row>
    <row r="1611" spans="1:14" x14ac:dyDescent="0.35">
      <c r="A1611" s="1" t="s">
        <v>4321</v>
      </c>
      <c r="B1611" s="3" t="s">
        <v>4253</v>
      </c>
      <c r="C1611" s="1" t="s">
        <v>4254</v>
      </c>
      <c r="D1611" s="1" t="s">
        <v>7086</v>
      </c>
      <c r="E1611" s="1" t="str">
        <f>"1940"</f>
        <v>1940</v>
      </c>
      <c r="F1611" s="1" t="s">
        <v>567</v>
      </c>
      <c r="G1611" s="1" t="s">
        <v>568</v>
      </c>
      <c r="H1611" s="1" t="s">
        <v>15</v>
      </c>
      <c r="I1611" s="3" t="str">
        <f>"1"</f>
        <v>1</v>
      </c>
      <c r="J1611" s="3" t="str">
        <f>"24500"</f>
        <v>24500</v>
      </c>
      <c r="K1611" s="2">
        <v>45871</v>
      </c>
      <c r="L1611" s="2">
        <v>45887</v>
      </c>
      <c r="M1611" s="1" t="s">
        <v>6999</v>
      </c>
      <c r="N1611" s="1" t="s">
        <v>7085</v>
      </c>
    </row>
    <row r="1612" spans="1:14" x14ac:dyDescent="0.35">
      <c r="A1612" s="1" t="s">
        <v>4321</v>
      </c>
      <c r="B1612" s="3" t="s">
        <v>2444</v>
      </c>
      <c r="C1612" s="1" t="s">
        <v>2445</v>
      </c>
      <c r="D1612" s="1" t="s">
        <v>7084</v>
      </c>
      <c r="E1612" s="1" t="str">
        <f>"6230"</f>
        <v>6230</v>
      </c>
      <c r="F1612" s="1" t="str">
        <f>"015902739"</f>
        <v>015902739</v>
      </c>
      <c r="G1612" s="1" t="s">
        <v>7083</v>
      </c>
      <c r="H1612" s="1" t="s">
        <v>15</v>
      </c>
      <c r="I1612" s="3" t="str">
        <f>"6"</f>
        <v>6</v>
      </c>
      <c r="J1612" s="3">
        <v>304.62</v>
      </c>
      <c r="K1612" s="2">
        <v>45862</v>
      </c>
      <c r="L1612" s="2">
        <v>45887</v>
      </c>
      <c r="M1612" s="1" t="s">
        <v>7082</v>
      </c>
      <c r="N1612" s="1" t="s">
        <v>7081</v>
      </c>
    </row>
    <row r="1613" spans="1:14" x14ac:dyDescent="0.35">
      <c r="A1613" s="1" t="s">
        <v>4321</v>
      </c>
      <c r="B1613" s="3" t="s">
        <v>1857</v>
      </c>
      <c r="C1613" s="1" t="s">
        <v>1922</v>
      </c>
      <c r="D1613" s="1" t="s">
        <v>7080</v>
      </c>
      <c r="E1613" s="1" t="str">
        <f>"6545"</f>
        <v>6545</v>
      </c>
      <c r="F1613" s="1" t="str">
        <f>"015300929"</f>
        <v>015300929</v>
      </c>
      <c r="G1613" s="1" t="s">
        <v>293</v>
      </c>
      <c r="H1613" s="1" t="s">
        <v>19</v>
      </c>
      <c r="I1613" s="3" t="str">
        <f>"2"</f>
        <v>2</v>
      </c>
      <c r="J1613" s="3">
        <v>62.81</v>
      </c>
      <c r="K1613" s="2">
        <v>45858</v>
      </c>
      <c r="L1613" s="2">
        <v>45887</v>
      </c>
      <c r="M1613" s="1" t="s">
        <v>7079</v>
      </c>
      <c r="N1613" s="1" t="s">
        <v>7078</v>
      </c>
    </row>
    <row r="1614" spans="1:14" x14ac:dyDescent="0.35">
      <c r="A1614" s="1" t="s">
        <v>4321</v>
      </c>
      <c r="B1614" s="3" t="s">
        <v>2494</v>
      </c>
      <c r="C1614" s="1" t="s">
        <v>2584</v>
      </c>
      <c r="D1614" s="1" t="s">
        <v>7077</v>
      </c>
      <c r="E1614" s="1" t="str">
        <f>"2310"</f>
        <v>2310</v>
      </c>
      <c r="F1614" s="1" t="s">
        <v>413</v>
      </c>
      <c r="G1614" s="1" t="s">
        <v>414</v>
      </c>
      <c r="H1614" s="1" t="s">
        <v>15</v>
      </c>
      <c r="I1614" s="3" t="str">
        <f>"1"</f>
        <v>1</v>
      </c>
      <c r="J1614" s="3">
        <v>12553.95</v>
      </c>
      <c r="K1614" s="2">
        <v>45843</v>
      </c>
      <c r="L1614" s="2">
        <v>45887</v>
      </c>
      <c r="M1614" s="1" t="s">
        <v>7076</v>
      </c>
      <c r="N1614" s="1" t="s">
        <v>7075</v>
      </c>
    </row>
    <row r="1615" spans="1:14" x14ac:dyDescent="0.35">
      <c r="A1615" s="1" t="s">
        <v>4321</v>
      </c>
      <c r="B1615" s="3" t="s">
        <v>93</v>
      </c>
      <c r="C1615" s="1" t="s">
        <v>305</v>
      </c>
      <c r="D1615" s="1" t="s">
        <v>7074</v>
      </c>
      <c r="E1615" s="1" t="str">
        <f>"1550"</f>
        <v>1550</v>
      </c>
      <c r="F1615" s="1" t="str">
        <f>"015872765"</f>
        <v>015872765</v>
      </c>
      <c r="G1615" s="1" t="s">
        <v>2416</v>
      </c>
      <c r="H1615" s="1" t="s">
        <v>15</v>
      </c>
      <c r="I1615" s="3" t="str">
        <f>"1"</f>
        <v>1</v>
      </c>
      <c r="J1615" s="3" t="str">
        <f>"100000"</f>
        <v>100000</v>
      </c>
      <c r="K1615" s="2">
        <v>45883</v>
      </c>
      <c r="L1615" s="2">
        <v>45886</v>
      </c>
      <c r="M1615" s="1" t="s">
        <v>7073</v>
      </c>
      <c r="N1615" s="1" t="s">
        <v>4343</v>
      </c>
    </row>
    <row r="1616" spans="1:14" x14ac:dyDescent="0.35">
      <c r="A1616" s="1" t="s">
        <v>4321</v>
      </c>
      <c r="B1616" s="3" t="s">
        <v>2983</v>
      </c>
      <c r="C1616" s="1" t="s">
        <v>7072</v>
      </c>
      <c r="D1616" s="1" t="s">
        <v>7071</v>
      </c>
      <c r="E1616" s="1" t="str">
        <f>"1550"</f>
        <v>1550</v>
      </c>
      <c r="F1616" s="1" t="str">
        <f>"015389256"</f>
        <v>015389256</v>
      </c>
      <c r="G1616" s="1" t="s">
        <v>2416</v>
      </c>
      <c r="H1616" s="1" t="s">
        <v>15</v>
      </c>
      <c r="I1616" s="3" t="str">
        <f>"2"</f>
        <v>2</v>
      </c>
      <c r="J1616" s="3" t="str">
        <f>"100000"</f>
        <v>100000</v>
      </c>
      <c r="K1616" s="2">
        <v>45882</v>
      </c>
      <c r="L1616" s="2">
        <v>45886</v>
      </c>
      <c r="M1616" s="1" t="s">
        <v>7070</v>
      </c>
      <c r="N1616" s="1" t="s">
        <v>4343</v>
      </c>
    </row>
    <row r="1617" spans="1:14" x14ac:dyDescent="0.35">
      <c r="A1617" s="1" t="s">
        <v>4321</v>
      </c>
      <c r="B1617" s="3" t="s">
        <v>2000</v>
      </c>
      <c r="C1617" s="1" t="s">
        <v>2027</v>
      </c>
      <c r="D1617" s="1" t="s">
        <v>7069</v>
      </c>
      <c r="E1617" s="1" t="str">
        <f>"5855"</f>
        <v>5855</v>
      </c>
      <c r="F1617" s="1" t="str">
        <f>"015019520"</f>
        <v>015019520</v>
      </c>
      <c r="G1617" s="1" t="s">
        <v>1379</v>
      </c>
      <c r="H1617" s="1" t="s">
        <v>15</v>
      </c>
      <c r="I1617" s="3" t="str">
        <f>"8"</f>
        <v>8</v>
      </c>
      <c r="J1617" s="3">
        <v>21278.48</v>
      </c>
      <c r="K1617" s="2">
        <v>45880</v>
      </c>
      <c r="L1617" s="2">
        <v>45886</v>
      </c>
      <c r="M1617" s="1" t="s">
        <v>6069</v>
      </c>
      <c r="N1617" s="1" t="s">
        <v>4343</v>
      </c>
    </row>
    <row r="1618" spans="1:14" x14ac:dyDescent="0.35">
      <c r="A1618" s="1" t="s">
        <v>4321</v>
      </c>
      <c r="B1618" s="3" t="s">
        <v>1317</v>
      </c>
      <c r="C1618" s="1" t="s">
        <v>1318</v>
      </c>
      <c r="D1618" s="1" t="s">
        <v>7068</v>
      </c>
      <c r="E1618" s="1" t="str">
        <f>"6650"</f>
        <v>6650</v>
      </c>
      <c r="F1618" s="1" t="s">
        <v>3823</v>
      </c>
      <c r="G1618" s="1" t="s">
        <v>3824</v>
      </c>
      <c r="H1618" s="1" t="s">
        <v>15</v>
      </c>
      <c r="I1618" s="3" t="str">
        <f>"8"</f>
        <v>8</v>
      </c>
      <c r="J1618" s="3" t="str">
        <f>"625"</f>
        <v>625</v>
      </c>
      <c r="K1618" s="2">
        <v>45884</v>
      </c>
      <c r="L1618" s="2">
        <v>45885</v>
      </c>
      <c r="M1618" s="1" t="s">
        <v>7067</v>
      </c>
      <c r="N1618" s="1" t="s">
        <v>4343</v>
      </c>
    </row>
    <row r="1619" spans="1:14" x14ac:dyDescent="0.35">
      <c r="A1619" s="1" t="s">
        <v>4321</v>
      </c>
      <c r="B1619" s="3" t="s">
        <v>1317</v>
      </c>
      <c r="C1619" s="1" t="s">
        <v>1318</v>
      </c>
      <c r="D1619" s="1" t="s">
        <v>7066</v>
      </c>
      <c r="E1619" s="1" t="str">
        <f>"6310"</f>
        <v>6310</v>
      </c>
      <c r="F1619" s="1" t="s">
        <v>1860</v>
      </c>
      <c r="G1619" s="1" t="s">
        <v>1861</v>
      </c>
      <c r="H1619" s="1" t="s">
        <v>15</v>
      </c>
      <c r="I1619" s="3" t="str">
        <f>"2"</f>
        <v>2</v>
      </c>
      <c r="J1619" s="3">
        <v>4994.18</v>
      </c>
      <c r="K1619" s="2">
        <v>45884</v>
      </c>
      <c r="L1619" s="2">
        <v>45885</v>
      </c>
      <c r="M1619" s="1" t="s">
        <v>7065</v>
      </c>
      <c r="N1619" s="1" t="s">
        <v>4343</v>
      </c>
    </row>
    <row r="1620" spans="1:14" x14ac:dyDescent="0.35">
      <c r="A1620" s="1" t="s">
        <v>4321</v>
      </c>
      <c r="B1620" s="3" t="s">
        <v>2720</v>
      </c>
      <c r="C1620" s="1" t="s">
        <v>2931</v>
      </c>
      <c r="D1620" s="1" t="s">
        <v>7064</v>
      </c>
      <c r="E1620" s="1" t="str">
        <f>"7110"</f>
        <v>7110</v>
      </c>
      <c r="F1620" s="1" t="s">
        <v>2939</v>
      </c>
      <c r="G1620" s="1" t="s">
        <v>2940</v>
      </c>
      <c r="H1620" s="1" t="s">
        <v>15</v>
      </c>
      <c r="I1620" s="3" t="str">
        <f>"4"</f>
        <v>4</v>
      </c>
      <c r="J1620" s="3" t="str">
        <f>"50"</f>
        <v>50</v>
      </c>
      <c r="K1620" s="2">
        <v>45884</v>
      </c>
      <c r="L1620" s="2">
        <v>45885</v>
      </c>
      <c r="M1620" s="1" t="s">
        <v>7063</v>
      </c>
      <c r="N1620" s="1" t="s">
        <v>4343</v>
      </c>
    </row>
    <row r="1621" spans="1:14" x14ac:dyDescent="0.35">
      <c r="A1621" s="1" t="s">
        <v>4321</v>
      </c>
      <c r="B1621" s="3" t="s">
        <v>2248</v>
      </c>
      <c r="C1621" s="1" t="s">
        <v>2265</v>
      </c>
      <c r="D1621" s="1" t="s">
        <v>7062</v>
      </c>
      <c r="E1621" s="1" t="str">
        <f>"6720"</f>
        <v>6720</v>
      </c>
      <c r="F1621" s="1" t="str">
        <f>"015474588"</f>
        <v>015474588</v>
      </c>
      <c r="G1621" s="1" t="s">
        <v>1550</v>
      </c>
      <c r="H1621" s="1" t="s">
        <v>15</v>
      </c>
      <c r="I1621" s="3" t="str">
        <f>"1"</f>
        <v>1</v>
      </c>
      <c r="J1621" s="3">
        <v>18184.93</v>
      </c>
      <c r="K1621" s="2">
        <v>45883</v>
      </c>
      <c r="L1621" s="2">
        <v>45885</v>
      </c>
      <c r="M1621" s="1" t="s">
        <v>7061</v>
      </c>
      <c r="N1621" s="1" t="s">
        <v>7060</v>
      </c>
    </row>
    <row r="1622" spans="1:14" x14ac:dyDescent="0.35">
      <c r="A1622" s="1" t="s">
        <v>4321</v>
      </c>
      <c r="B1622" s="3" t="s">
        <v>4087</v>
      </c>
      <c r="C1622" s="1" t="s">
        <v>4143</v>
      </c>
      <c r="D1622" s="1" t="s">
        <v>7059</v>
      </c>
      <c r="E1622" s="1" t="str">
        <f>"5855"</f>
        <v>5855</v>
      </c>
      <c r="F1622" s="1" t="str">
        <f>"014485464"</f>
        <v>014485464</v>
      </c>
      <c r="G1622" s="1" t="s">
        <v>1931</v>
      </c>
      <c r="H1622" s="1" t="s">
        <v>15</v>
      </c>
      <c r="I1622" s="3" t="str">
        <f>"15"</f>
        <v>15</v>
      </c>
      <c r="J1622" s="3" t="str">
        <f>"359"</f>
        <v>359</v>
      </c>
      <c r="K1622" s="2">
        <v>45883</v>
      </c>
      <c r="L1622" s="2">
        <v>45885</v>
      </c>
      <c r="M1622" s="1" t="s">
        <v>7058</v>
      </c>
      <c r="N1622" s="1" t="s">
        <v>4343</v>
      </c>
    </row>
    <row r="1623" spans="1:14" x14ac:dyDescent="0.35">
      <c r="A1623" s="1" t="s">
        <v>4321</v>
      </c>
      <c r="B1623" s="3" t="s">
        <v>2248</v>
      </c>
      <c r="C1623" s="1" t="s">
        <v>2414</v>
      </c>
      <c r="D1623" s="1" t="s">
        <v>7057</v>
      </c>
      <c r="E1623" s="1" t="str">
        <f>"2360"</f>
        <v>2360</v>
      </c>
      <c r="F1623" s="1" t="str">
        <f>"015349826"</f>
        <v>015349826</v>
      </c>
      <c r="G1623" s="1" t="s">
        <v>2247</v>
      </c>
      <c r="H1623" s="1" t="s">
        <v>15</v>
      </c>
      <c r="I1623" s="3" t="str">
        <f>"1"</f>
        <v>1</v>
      </c>
      <c r="J1623" s="3" t="str">
        <f>"240625"</f>
        <v>240625</v>
      </c>
      <c r="K1623" s="2">
        <v>45883</v>
      </c>
      <c r="L1623" s="2">
        <v>45885</v>
      </c>
      <c r="M1623" s="1" t="s">
        <v>7056</v>
      </c>
      <c r="N1623" s="1" t="s">
        <v>4343</v>
      </c>
    </row>
    <row r="1624" spans="1:14" x14ac:dyDescent="0.35">
      <c r="A1624" s="1" t="s">
        <v>4321</v>
      </c>
      <c r="B1624" s="3" t="s">
        <v>2720</v>
      </c>
      <c r="C1624" s="1" t="s">
        <v>2765</v>
      </c>
      <c r="D1624" s="1" t="s">
        <v>7055</v>
      </c>
      <c r="E1624" s="1" t="str">
        <f>"7010"</f>
        <v>7010</v>
      </c>
      <c r="F1624" s="1" t="str">
        <f>"016167730"</f>
        <v>016167730</v>
      </c>
      <c r="G1624" s="1" t="s">
        <v>2255</v>
      </c>
      <c r="H1624" s="1" t="s">
        <v>15</v>
      </c>
      <c r="I1624" s="3" t="str">
        <f>"2"</f>
        <v>2</v>
      </c>
      <c r="J1624" s="3">
        <v>5360.03</v>
      </c>
      <c r="K1624" s="2">
        <v>45882</v>
      </c>
      <c r="L1624" s="2">
        <v>45885</v>
      </c>
      <c r="M1624" s="1" t="s">
        <v>7054</v>
      </c>
      <c r="N1624" s="1" t="s">
        <v>7053</v>
      </c>
    </row>
    <row r="1625" spans="1:14" x14ac:dyDescent="0.35">
      <c r="A1625" s="1" t="s">
        <v>4321</v>
      </c>
      <c r="B1625" s="3" t="s">
        <v>2720</v>
      </c>
      <c r="C1625" s="1" t="s">
        <v>2779</v>
      </c>
      <c r="D1625" s="1" t="s">
        <v>7052</v>
      </c>
      <c r="E1625" s="1" t="str">
        <f>"7010"</f>
        <v>7010</v>
      </c>
      <c r="F1625" s="1" t="str">
        <f>"016167730"</f>
        <v>016167730</v>
      </c>
      <c r="G1625" s="1" t="s">
        <v>2255</v>
      </c>
      <c r="H1625" s="1" t="s">
        <v>15</v>
      </c>
      <c r="I1625" s="3" t="str">
        <f>"3"</f>
        <v>3</v>
      </c>
      <c r="J1625" s="3">
        <v>5360.03</v>
      </c>
      <c r="K1625" s="2">
        <v>45882</v>
      </c>
      <c r="L1625" s="2">
        <v>45885</v>
      </c>
      <c r="M1625" s="1" t="s">
        <v>7051</v>
      </c>
      <c r="N1625" s="1" t="s">
        <v>7050</v>
      </c>
    </row>
    <row r="1626" spans="1:14" x14ac:dyDescent="0.35">
      <c r="A1626" s="1" t="s">
        <v>4321</v>
      </c>
      <c r="B1626" s="3" t="s">
        <v>2720</v>
      </c>
      <c r="C1626" s="1" t="s">
        <v>2779</v>
      </c>
      <c r="D1626" s="1" t="s">
        <v>7049</v>
      </c>
      <c r="E1626" s="1" t="str">
        <f>"8405"</f>
        <v>8405</v>
      </c>
      <c r="F1626" s="1" t="s">
        <v>2813</v>
      </c>
      <c r="G1626" s="1" t="s">
        <v>2814</v>
      </c>
      <c r="H1626" s="1" t="s">
        <v>15</v>
      </c>
      <c r="I1626" s="3" t="str">
        <f>"2"</f>
        <v>2</v>
      </c>
      <c r="J1626" s="3">
        <v>65.33</v>
      </c>
      <c r="K1626" s="2">
        <v>45882</v>
      </c>
      <c r="L1626" s="2">
        <v>45885</v>
      </c>
      <c r="M1626" s="1" t="s">
        <v>2815</v>
      </c>
      <c r="N1626" s="1" t="s">
        <v>7048</v>
      </c>
    </row>
    <row r="1627" spans="1:14" x14ac:dyDescent="0.35">
      <c r="A1627" s="1" t="s">
        <v>4321</v>
      </c>
      <c r="B1627" s="3" t="s">
        <v>93</v>
      </c>
      <c r="C1627" s="1" t="s">
        <v>203</v>
      </c>
      <c r="D1627" s="1" t="s">
        <v>7047</v>
      </c>
      <c r="E1627" s="1" t="str">
        <f>"7830"</f>
        <v>7830</v>
      </c>
      <c r="F1627" s="1" t="s">
        <v>89</v>
      </c>
      <c r="G1627" s="1" t="s">
        <v>90</v>
      </c>
      <c r="H1627" s="1" t="s">
        <v>15</v>
      </c>
      <c r="I1627" s="3" t="str">
        <f>"24"</f>
        <v>24</v>
      </c>
      <c r="J1627" s="3" t="str">
        <f>"20"</f>
        <v>20</v>
      </c>
      <c r="K1627" s="2">
        <v>45881</v>
      </c>
      <c r="L1627" s="2">
        <v>45885</v>
      </c>
      <c r="M1627" s="1" t="s">
        <v>7046</v>
      </c>
      <c r="N1627" s="1" t="s">
        <v>7045</v>
      </c>
    </row>
    <row r="1628" spans="1:14" x14ac:dyDescent="0.35">
      <c r="A1628" s="1" t="s">
        <v>4321</v>
      </c>
      <c r="B1628" s="3" t="s">
        <v>2720</v>
      </c>
      <c r="C1628" s="1" t="s">
        <v>2740</v>
      </c>
      <c r="D1628" s="1" t="s">
        <v>7044</v>
      </c>
      <c r="E1628" s="1" t="str">
        <f>"7010"</f>
        <v>7010</v>
      </c>
      <c r="F1628" s="1" t="str">
        <f>"016501067"</f>
        <v>016501067</v>
      </c>
      <c r="G1628" s="1" t="s">
        <v>1984</v>
      </c>
      <c r="H1628" s="1" t="s">
        <v>15</v>
      </c>
      <c r="I1628" s="3" t="str">
        <f>"1"</f>
        <v>1</v>
      </c>
      <c r="J1628" s="3" t="str">
        <f>"2961"</f>
        <v>2961</v>
      </c>
      <c r="K1628" s="2">
        <v>45881</v>
      </c>
      <c r="L1628" s="2">
        <v>45885</v>
      </c>
      <c r="M1628" s="1" t="s">
        <v>4314</v>
      </c>
      <c r="N1628" s="1" t="s">
        <v>4343</v>
      </c>
    </row>
    <row r="1629" spans="1:14" x14ac:dyDescent="0.35">
      <c r="A1629" s="1" t="s">
        <v>4321</v>
      </c>
      <c r="B1629" s="3" t="s">
        <v>2720</v>
      </c>
      <c r="C1629" s="1" t="s">
        <v>2740</v>
      </c>
      <c r="D1629" s="1" t="s">
        <v>7043</v>
      </c>
      <c r="E1629" s="1" t="str">
        <f>"7010"</f>
        <v>7010</v>
      </c>
      <c r="F1629" s="1" t="str">
        <f>"016501067"</f>
        <v>016501067</v>
      </c>
      <c r="G1629" s="1" t="s">
        <v>1984</v>
      </c>
      <c r="H1629" s="1" t="s">
        <v>15</v>
      </c>
      <c r="I1629" s="3" t="str">
        <f>"1"</f>
        <v>1</v>
      </c>
      <c r="J1629" s="3" t="str">
        <f>"2961"</f>
        <v>2961</v>
      </c>
      <c r="K1629" s="2">
        <v>45881</v>
      </c>
      <c r="L1629" s="2">
        <v>45885</v>
      </c>
      <c r="M1629" s="1" t="s">
        <v>4314</v>
      </c>
      <c r="N1629" s="1" t="s">
        <v>4343</v>
      </c>
    </row>
    <row r="1630" spans="1:14" x14ac:dyDescent="0.35">
      <c r="A1630" s="1" t="s">
        <v>4321</v>
      </c>
      <c r="B1630" s="3" t="s">
        <v>2000</v>
      </c>
      <c r="C1630" s="1" t="s">
        <v>2027</v>
      </c>
      <c r="D1630" s="1" t="s">
        <v>7042</v>
      </c>
      <c r="E1630" s="1" t="str">
        <f>"5855"</f>
        <v>5855</v>
      </c>
      <c r="F1630" s="1" t="s">
        <v>2918</v>
      </c>
      <c r="G1630" s="1" t="s">
        <v>2919</v>
      </c>
      <c r="H1630" s="1" t="s">
        <v>15</v>
      </c>
      <c r="I1630" s="3" t="str">
        <f>"1"</f>
        <v>1</v>
      </c>
      <c r="J1630" s="3" t="str">
        <f>"15735"</f>
        <v>15735</v>
      </c>
      <c r="K1630" s="2">
        <v>45880</v>
      </c>
      <c r="L1630" s="2">
        <v>45885</v>
      </c>
      <c r="M1630" s="1" t="s">
        <v>6069</v>
      </c>
      <c r="N1630" s="1" t="s">
        <v>4343</v>
      </c>
    </row>
    <row r="1631" spans="1:14" x14ac:dyDescent="0.35">
      <c r="A1631" s="1" t="s">
        <v>4321</v>
      </c>
      <c r="B1631" s="3" t="s">
        <v>2720</v>
      </c>
      <c r="C1631" s="1" t="s">
        <v>2897</v>
      </c>
      <c r="D1631" s="1" t="s">
        <v>7041</v>
      </c>
      <c r="E1631" s="1" t="str">
        <f>"1550"</f>
        <v>1550</v>
      </c>
      <c r="F1631" s="1" t="str">
        <f>"016215533"</f>
        <v>016215533</v>
      </c>
      <c r="G1631" s="1" t="s">
        <v>2334</v>
      </c>
      <c r="H1631" s="1" t="s">
        <v>15</v>
      </c>
      <c r="I1631" s="3" t="str">
        <f>"1"</f>
        <v>1</v>
      </c>
      <c r="J1631" s="3" t="str">
        <f>"168000"</f>
        <v>168000</v>
      </c>
      <c r="K1631" s="2">
        <v>45880</v>
      </c>
      <c r="L1631" s="2">
        <v>45885</v>
      </c>
      <c r="M1631" s="1" t="s">
        <v>6387</v>
      </c>
      <c r="N1631" s="1" t="s">
        <v>7040</v>
      </c>
    </row>
    <row r="1632" spans="1:14" x14ac:dyDescent="0.35">
      <c r="A1632" s="1" t="s">
        <v>4321</v>
      </c>
      <c r="B1632" s="3" t="s">
        <v>3513</v>
      </c>
      <c r="C1632" s="1" t="s">
        <v>3865</v>
      </c>
      <c r="D1632" s="1" t="s">
        <v>7039</v>
      </c>
      <c r="E1632" s="1" t="str">
        <f>"2330"</f>
        <v>2330</v>
      </c>
      <c r="F1632" s="1" t="s">
        <v>70</v>
      </c>
      <c r="G1632" s="1" t="s">
        <v>71</v>
      </c>
      <c r="H1632" s="1" t="s">
        <v>15</v>
      </c>
      <c r="I1632" s="3" t="str">
        <f>"1"</f>
        <v>1</v>
      </c>
      <c r="J1632" s="3" t="str">
        <f>"1434"</f>
        <v>1434</v>
      </c>
      <c r="K1632" s="2">
        <v>45880</v>
      </c>
      <c r="L1632" s="2">
        <v>45885</v>
      </c>
      <c r="M1632" s="1" t="s">
        <v>7038</v>
      </c>
      <c r="N1632" s="1" t="s">
        <v>7037</v>
      </c>
    </row>
    <row r="1633" spans="1:14" x14ac:dyDescent="0.35">
      <c r="A1633" s="1" t="s">
        <v>4321</v>
      </c>
      <c r="B1633" s="3" t="s">
        <v>3105</v>
      </c>
      <c r="C1633" s="1" t="s">
        <v>3106</v>
      </c>
      <c r="D1633" s="1" t="s">
        <v>7036</v>
      </c>
      <c r="E1633" s="1" t="str">
        <f>"5140"</f>
        <v>5140</v>
      </c>
      <c r="F1633" s="1" t="s">
        <v>161</v>
      </c>
      <c r="G1633" s="1" t="s">
        <v>162</v>
      </c>
      <c r="H1633" s="1" t="s">
        <v>15</v>
      </c>
      <c r="I1633" s="3" t="str">
        <f>"1"</f>
        <v>1</v>
      </c>
      <c r="J1633" s="3" t="str">
        <f>"10000"</f>
        <v>10000</v>
      </c>
      <c r="K1633" s="2">
        <v>45878</v>
      </c>
      <c r="L1633" s="2">
        <v>45885</v>
      </c>
      <c r="M1633" s="1" t="s">
        <v>7035</v>
      </c>
      <c r="N1633" s="1" t="s">
        <v>7034</v>
      </c>
    </row>
    <row r="1634" spans="1:14" x14ac:dyDescent="0.35">
      <c r="A1634" s="1" t="s">
        <v>4321</v>
      </c>
      <c r="B1634" s="3" t="s">
        <v>3105</v>
      </c>
      <c r="C1634" s="1" t="s">
        <v>3106</v>
      </c>
      <c r="D1634" s="1" t="s">
        <v>7033</v>
      </c>
      <c r="E1634" s="1" t="str">
        <f>"5140"</f>
        <v>5140</v>
      </c>
      <c r="F1634" s="1" t="s">
        <v>161</v>
      </c>
      <c r="G1634" s="1" t="s">
        <v>162</v>
      </c>
      <c r="H1634" s="1" t="s">
        <v>15</v>
      </c>
      <c r="I1634" s="3" t="str">
        <f>"1"</f>
        <v>1</v>
      </c>
      <c r="J1634" s="3" t="str">
        <f>"10000"</f>
        <v>10000</v>
      </c>
      <c r="K1634" s="2">
        <v>45878</v>
      </c>
      <c r="L1634" s="2">
        <v>45885</v>
      </c>
      <c r="M1634" s="1" t="s">
        <v>7032</v>
      </c>
      <c r="N1634" s="1" t="s">
        <v>7031</v>
      </c>
    </row>
    <row r="1635" spans="1:14" x14ac:dyDescent="0.35">
      <c r="A1635" s="1" t="s">
        <v>4321</v>
      </c>
      <c r="B1635" s="3" t="s">
        <v>4253</v>
      </c>
      <c r="C1635" s="1" t="s">
        <v>4268</v>
      </c>
      <c r="D1635" s="1" t="s">
        <v>7030</v>
      </c>
      <c r="E1635" s="1" t="str">
        <f>"1550"</f>
        <v>1550</v>
      </c>
      <c r="F1635" s="1" t="str">
        <f>"016215533"</f>
        <v>016215533</v>
      </c>
      <c r="G1635" s="1" t="s">
        <v>2334</v>
      </c>
      <c r="H1635" s="1" t="s">
        <v>15</v>
      </c>
      <c r="I1635" s="3" t="str">
        <f>"1"</f>
        <v>1</v>
      </c>
      <c r="J1635" s="3" t="str">
        <f>"168000"</f>
        <v>168000</v>
      </c>
      <c r="K1635" s="2">
        <v>45878</v>
      </c>
      <c r="L1635" s="2">
        <v>45885</v>
      </c>
      <c r="M1635" s="1" t="s">
        <v>7029</v>
      </c>
      <c r="N1635" s="1" t="s">
        <v>7028</v>
      </c>
    </row>
    <row r="1636" spans="1:14" x14ac:dyDescent="0.35">
      <c r="A1636" s="1" t="s">
        <v>4321</v>
      </c>
      <c r="B1636" s="3" t="s">
        <v>2248</v>
      </c>
      <c r="C1636" s="1" t="s">
        <v>2375</v>
      </c>
      <c r="D1636" s="1" t="s">
        <v>7027</v>
      </c>
      <c r="E1636" s="1" t="str">
        <f>"5140"</f>
        <v>5140</v>
      </c>
      <c r="F1636" s="1" t="s">
        <v>161</v>
      </c>
      <c r="G1636" s="1" t="s">
        <v>162</v>
      </c>
      <c r="H1636" s="1" t="s">
        <v>15</v>
      </c>
      <c r="I1636" s="3" t="str">
        <f>"1"</f>
        <v>1</v>
      </c>
      <c r="J1636" s="3" t="str">
        <f>"10000"</f>
        <v>10000</v>
      </c>
      <c r="K1636" s="2">
        <v>45878</v>
      </c>
      <c r="L1636" s="2">
        <v>45885</v>
      </c>
      <c r="M1636" s="1" t="s">
        <v>7026</v>
      </c>
      <c r="N1636" s="1" t="s">
        <v>7025</v>
      </c>
    </row>
    <row r="1637" spans="1:14" x14ac:dyDescent="0.35">
      <c r="A1637" s="1" t="s">
        <v>4321</v>
      </c>
      <c r="B1637" s="3" t="s">
        <v>2000</v>
      </c>
      <c r="C1637" s="1" t="s">
        <v>2001</v>
      </c>
      <c r="D1637" s="1" t="s">
        <v>7024</v>
      </c>
      <c r="E1637" s="1" t="str">
        <f>"6115"</f>
        <v>6115</v>
      </c>
      <c r="F1637" s="1" t="str">
        <f>"014743776"</f>
        <v>014743776</v>
      </c>
      <c r="G1637" s="1" t="s">
        <v>1838</v>
      </c>
      <c r="H1637" s="1" t="s">
        <v>15</v>
      </c>
      <c r="I1637" s="3" t="str">
        <f>"3"</f>
        <v>3</v>
      </c>
      <c r="J1637" s="3" t="str">
        <f>"96819"</f>
        <v>96819</v>
      </c>
      <c r="K1637" s="2">
        <v>45877</v>
      </c>
      <c r="L1637" s="2">
        <v>45885</v>
      </c>
      <c r="M1637" s="1" t="s">
        <v>7023</v>
      </c>
      <c r="N1637" s="1" t="s">
        <v>4343</v>
      </c>
    </row>
    <row r="1638" spans="1:14" x14ac:dyDescent="0.35">
      <c r="A1638" s="1" t="s">
        <v>4321</v>
      </c>
      <c r="B1638" s="3" t="s">
        <v>3513</v>
      </c>
      <c r="C1638" s="1" t="s">
        <v>3684</v>
      </c>
      <c r="D1638" s="1" t="s">
        <v>7022</v>
      </c>
      <c r="E1638" s="1" t="str">
        <f>"6115"</f>
        <v>6115</v>
      </c>
      <c r="F1638" s="1" t="s">
        <v>174</v>
      </c>
      <c r="G1638" s="1" t="s">
        <v>175</v>
      </c>
      <c r="H1638" s="1" t="s">
        <v>15</v>
      </c>
      <c r="I1638" s="3" t="str">
        <f>"1"</f>
        <v>1</v>
      </c>
      <c r="J1638" s="3" t="str">
        <f>"899"</f>
        <v>899</v>
      </c>
      <c r="K1638" s="2">
        <v>45875</v>
      </c>
      <c r="L1638" s="2">
        <v>45885</v>
      </c>
      <c r="M1638" s="1" t="s">
        <v>7021</v>
      </c>
      <c r="N1638" s="1" t="s">
        <v>7020</v>
      </c>
    </row>
    <row r="1639" spans="1:14" x14ac:dyDescent="0.35">
      <c r="A1639" s="1" t="s">
        <v>4321</v>
      </c>
      <c r="B1639" s="3" t="s">
        <v>3513</v>
      </c>
      <c r="C1639" s="1" t="s">
        <v>3684</v>
      </c>
      <c r="D1639" s="1" t="s">
        <v>7019</v>
      </c>
      <c r="E1639" s="1" t="str">
        <f>"6115"</f>
        <v>6115</v>
      </c>
      <c r="F1639" s="1" t="s">
        <v>174</v>
      </c>
      <c r="G1639" s="1" t="s">
        <v>175</v>
      </c>
      <c r="H1639" s="1" t="s">
        <v>15</v>
      </c>
      <c r="I1639" s="3" t="str">
        <f>"1"</f>
        <v>1</v>
      </c>
      <c r="J1639" s="3" t="str">
        <f>"900"</f>
        <v>900</v>
      </c>
      <c r="K1639" s="2">
        <v>45875</v>
      </c>
      <c r="L1639" s="2">
        <v>45885</v>
      </c>
      <c r="M1639" s="1" t="s">
        <v>7018</v>
      </c>
      <c r="N1639" s="1" t="s">
        <v>7017</v>
      </c>
    </row>
    <row r="1640" spans="1:14" x14ac:dyDescent="0.35">
      <c r="A1640" s="1" t="s">
        <v>4321</v>
      </c>
      <c r="B1640" s="3" t="s">
        <v>3513</v>
      </c>
      <c r="C1640" s="1" t="s">
        <v>3684</v>
      </c>
      <c r="D1640" s="1" t="s">
        <v>7016</v>
      </c>
      <c r="E1640" s="1" t="str">
        <f>"6115"</f>
        <v>6115</v>
      </c>
      <c r="F1640" s="1" t="s">
        <v>174</v>
      </c>
      <c r="G1640" s="1" t="s">
        <v>175</v>
      </c>
      <c r="H1640" s="1" t="s">
        <v>15</v>
      </c>
      <c r="I1640" s="3" t="str">
        <f>"1"</f>
        <v>1</v>
      </c>
      <c r="J1640" s="3" t="str">
        <f>"812"</f>
        <v>812</v>
      </c>
      <c r="K1640" s="2">
        <v>45875</v>
      </c>
      <c r="L1640" s="2">
        <v>45885</v>
      </c>
      <c r="M1640" s="1" t="s">
        <v>7015</v>
      </c>
      <c r="N1640" s="1" t="s">
        <v>7014</v>
      </c>
    </row>
    <row r="1641" spans="1:14" x14ac:dyDescent="0.35">
      <c r="A1641" s="1" t="s">
        <v>4321</v>
      </c>
      <c r="B1641" s="3" t="s">
        <v>3513</v>
      </c>
      <c r="C1641" s="1" t="s">
        <v>3684</v>
      </c>
      <c r="D1641" s="1" t="s">
        <v>7013</v>
      </c>
      <c r="E1641" s="1" t="str">
        <f>"6115"</f>
        <v>6115</v>
      </c>
      <c r="F1641" s="1" t="s">
        <v>174</v>
      </c>
      <c r="G1641" s="1" t="s">
        <v>175</v>
      </c>
      <c r="H1641" s="1" t="s">
        <v>15</v>
      </c>
      <c r="I1641" s="3" t="str">
        <f>"1"</f>
        <v>1</v>
      </c>
      <c r="J1641" s="3" t="str">
        <f>"900"</f>
        <v>900</v>
      </c>
      <c r="K1641" s="2">
        <v>45874</v>
      </c>
      <c r="L1641" s="2">
        <v>45885</v>
      </c>
      <c r="M1641" s="1" t="s">
        <v>7012</v>
      </c>
      <c r="N1641" s="1" t="s">
        <v>7011</v>
      </c>
    </row>
    <row r="1642" spans="1:14" x14ac:dyDescent="0.35">
      <c r="A1642" s="1" t="s">
        <v>4321</v>
      </c>
      <c r="B1642" s="3" t="s">
        <v>3183</v>
      </c>
      <c r="C1642" s="1" t="s">
        <v>3352</v>
      </c>
      <c r="D1642" s="1" t="s">
        <v>7010</v>
      </c>
      <c r="E1642" s="1" t="str">
        <f>"7110"</f>
        <v>7110</v>
      </c>
      <c r="F1642" s="1" t="s">
        <v>2939</v>
      </c>
      <c r="G1642" s="1" t="s">
        <v>2940</v>
      </c>
      <c r="H1642" s="1" t="s">
        <v>15</v>
      </c>
      <c r="I1642" s="3" t="str">
        <f>"2"</f>
        <v>2</v>
      </c>
      <c r="J1642" s="3" t="str">
        <f>"250"</f>
        <v>250</v>
      </c>
      <c r="K1642" s="2">
        <v>45874</v>
      </c>
      <c r="L1642" s="2">
        <v>45885</v>
      </c>
      <c r="M1642" s="1" t="s">
        <v>7009</v>
      </c>
      <c r="N1642" s="1" t="s">
        <v>7008</v>
      </c>
    </row>
    <row r="1643" spans="1:14" x14ac:dyDescent="0.35">
      <c r="A1643" s="1" t="s">
        <v>4321</v>
      </c>
      <c r="B1643" s="3" t="s">
        <v>3105</v>
      </c>
      <c r="C1643" s="1" t="s">
        <v>3141</v>
      </c>
      <c r="D1643" s="1" t="s">
        <v>7007</v>
      </c>
      <c r="E1643" s="1" t="str">
        <f>"5855"</f>
        <v>5855</v>
      </c>
      <c r="F1643" s="1" t="str">
        <f>"015790062"</f>
        <v>015790062</v>
      </c>
      <c r="G1643" s="1" t="s">
        <v>703</v>
      </c>
      <c r="H1643" s="1" t="s">
        <v>15</v>
      </c>
      <c r="I1643" s="3" t="str">
        <f>"11"</f>
        <v>11</v>
      </c>
      <c r="J1643" s="3" t="str">
        <f>"906"</f>
        <v>906</v>
      </c>
      <c r="K1643" s="2">
        <v>45873</v>
      </c>
      <c r="L1643" s="2">
        <v>45885</v>
      </c>
      <c r="M1643" s="1" t="s">
        <v>3145</v>
      </c>
      <c r="N1643" s="1" t="s">
        <v>7006</v>
      </c>
    </row>
    <row r="1644" spans="1:14" x14ac:dyDescent="0.35">
      <c r="A1644" s="1" t="s">
        <v>4321</v>
      </c>
      <c r="B1644" s="3" t="s">
        <v>2494</v>
      </c>
      <c r="C1644" s="1" t="s">
        <v>2622</v>
      </c>
      <c r="D1644" s="1" t="s">
        <v>7005</v>
      </c>
      <c r="E1644" s="1" t="str">
        <f>"2320"</f>
        <v>2320</v>
      </c>
      <c r="F1644" s="1" t="str">
        <f>"014474938"</f>
        <v>014474938</v>
      </c>
      <c r="G1644" s="1" t="s">
        <v>117</v>
      </c>
      <c r="H1644" s="1" t="s">
        <v>15</v>
      </c>
      <c r="I1644" s="3" t="str">
        <f>"1"</f>
        <v>1</v>
      </c>
      <c r="J1644" s="3" t="str">
        <f>"230363"</f>
        <v>230363</v>
      </c>
      <c r="K1644" s="2">
        <v>45873</v>
      </c>
      <c r="L1644" s="2">
        <v>45885</v>
      </c>
      <c r="M1644" s="1" t="s">
        <v>2624</v>
      </c>
      <c r="N1644" s="1" t="s">
        <v>7004</v>
      </c>
    </row>
    <row r="1645" spans="1:14" x14ac:dyDescent="0.35">
      <c r="A1645" s="1" t="s">
        <v>4321</v>
      </c>
      <c r="B1645" s="3" t="s">
        <v>3183</v>
      </c>
      <c r="C1645" s="1" t="s">
        <v>3184</v>
      </c>
      <c r="D1645" s="1" t="s">
        <v>7003</v>
      </c>
      <c r="E1645" s="1" t="str">
        <f>"2320"</f>
        <v>2320</v>
      </c>
      <c r="F1645" s="1" t="s">
        <v>321</v>
      </c>
      <c r="G1645" s="1" t="s">
        <v>322</v>
      </c>
      <c r="H1645" s="1" t="s">
        <v>15</v>
      </c>
      <c r="I1645" s="3" t="str">
        <f>"1"</f>
        <v>1</v>
      </c>
      <c r="J1645" s="3">
        <v>19720.25</v>
      </c>
      <c r="K1645" s="2">
        <v>45872</v>
      </c>
      <c r="L1645" s="2">
        <v>45885</v>
      </c>
      <c r="M1645" s="1" t="s">
        <v>7002</v>
      </c>
      <c r="N1645" s="1" t="s">
        <v>7001</v>
      </c>
    </row>
    <row r="1646" spans="1:14" x14ac:dyDescent="0.35">
      <c r="A1646" s="1" t="s">
        <v>4321</v>
      </c>
      <c r="B1646" s="3" t="s">
        <v>4253</v>
      </c>
      <c r="C1646" s="1" t="s">
        <v>4254</v>
      </c>
      <c r="D1646" s="1" t="s">
        <v>7000</v>
      </c>
      <c r="E1646" s="1" t="str">
        <f>"1940"</f>
        <v>1940</v>
      </c>
      <c r="F1646" s="1" t="s">
        <v>567</v>
      </c>
      <c r="G1646" s="1" t="s">
        <v>568</v>
      </c>
      <c r="H1646" s="1" t="s">
        <v>15</v>
      </c>
      <c r="I1646" s="3" t="str">
        <f>"1"</f>
        <v>1</v>
      </c>
      <c r="J1646" s="3" t="str">
        <f>"24500"</f>
        <v>24500</v>
      </c>
      <c r="K1646" s="2">
        <v>45871</v>
      </c>
      <c r="L1646" s="2">
        <v>45885</v>
      </c>
      <c r="M1646" s="1" t="s">
        <v>6999</v>
      </c>
      <c r="N1646" s="1" t="s">
        <v>6998</v>
      </c>
    </row>
    <row r="1647" spans="1:14" x14ac:dyDescent="0.35">
      <c r="A1647" s="1" t="s">
        <v>4321</v>
      </c>
      <c r="B1647" s="3" t="s">
        <v>93</v>
      </c>
      <c r="C1647" s="1" t="s">
        <v>109</v>
      </c>
      <c r="D1647" s="1" t="s">
        <v>6997</v>
      </c>
      <c r="E1647" s="1" t="str">
        <f>"7320"</f>
        <v>7320</v>
      </c>
      <c r="F1647" s="1" t="s">
        <v>6996</v>
      </c>
      <c r="G1647" s="1" t="s">
        <v>6995</v>
      </c>
      <c r="H1647" s="1" t="s">
        <v>15</v>
      </c>
      <c r="I1647" s="3" t="str">
        <f>"1"</f>
        <v>1</v>
      </c>
      <c r="J1647" s="3">
        <v>2086.7800000000002</v>
      </c>
      <c r="K1647" s="2">
        <v>45871</v>
      </c>
      <c r="L1647" s="2">
        <v>45885</v>
      </c>
      <c r="M1647" s="1" t="s">
        <v>6994</v>
      </c>
      <c r="N1647" s="1" t="s">
        <v>6993</v>
      </c>
    </row>
    <row r="1648" spans="1:14" x14ac:dyDescent="0.35">
      <c r="A1648" s="1" t="s">
        <v>4321</v>
      </c>
      <c r="B1648" s="3" t="s">
        <v>93</v>
      </c>
      <c r="C1648" s="1" t="s">
        <v>109</v>
      </c>
      <c r="D1648" s="1" t="s">
        <v>6992</v>
      </c>
      <c r="E1648" s="1" t="str">
        <f>"4310"</f>
        <v>4310</v>
      </c>
      <c r="F1648" s="1" t="s">
        <v>124</v>
      </c>
      <c r="G1648" s="1" t="s">
        <v>125</v>
      </c>
      <c r="H1648" s="1" t="s">
        <v>15</v>
      </c>
      <c r="I1648" s="3" t="str">
        <f>"1"</f>
        <v>1</v>
      </c>
      <c r="J1648" s="3" t="str">
        <f>"3000"</f>
        <v>3000</v>
      </c>
      <c r="K1648" s="2">
        <v>45871</v>
      </c>
      <c r="L1648" s="2">
        <v>45885</v>
      </c>
      <c r="M1648" s="1" t="s">
        <v>6991</v>
      </c>
      <c r="N1648" s="1" t="s">
        <v>6990</v>
      </c>
    </row>
    <row r="1649" spans="1:14" x14ac:dyDescent="0.35">
      <c r="A1649" s="1" t="s">
        <v>4321</v>
      </c>
      <c r="B1649" s="3" t="s">
        <v>93</v>
      </c>
      <c r="C1649" s="1" t="s">
        <v>109</v>
      </c>
      <c r="D1649" s="1" t="s">
        <v>6989</v>
      </c>
      <c r="E1649" s="1" t="str">
        <f>"7310"</f>
        <v>7310</v>
      </c>
      <c r="F1649" s="1" t="s">
        <v>6988</v>
      </c>
      <c r="G1649" s="1" t="s">
        <v>6987</v>
      </c>
      <c r="H1649" s="1" t="s">
        <v>15</v>
      </c>
      <c r="I1649" s="3" t="str">
        <f>"1"</f>
        <v>1</v>
      </c>
      <c r="J1649" s="3" t="str">
        <f>"1615"</f>
        <v>1615</v>
      </c>
      <c r="K1649" s="2">
        <v>45871</v>
      </c>
      <c r="L1649" s="2">
        <v>45885</v>
      </c>
      <c r="M1649" s="1" t="s">
        <v>6986</v>
      </c>
      <c r="N1649" s="1" t="s">
        <v>6985</v>
      </c>
    </row>
    <row r="1650" spans="1:14" x14ac:dyDescent="0.35">
      <c r="A1650" s="1" t="s">
        <v>4321</v>
      </c>
      <c r="B1650" s="3" t="s">
        <v>1317</v>
      </c>
      <c r="C1650" s="1" t="s">
        <v>1318</v>
      </c>
      <c r="D1650" s="1" t="s">
        <v>6984</v>
      </c>
      <c r="E1650" s="1" t="str">
        <f>"2330"</f>
        <v>2330</v>
      </c>
      <c r="F1650" s="1" t="str">
        <f>"015183809"</f>
        <v>015183809</v>
      </c>
      <c r="G1650" s="1" t="s">
        <v>617</v>
      </c>
      <c r="H1650" s="1" t="s">
        <v>15</v>
      </c>
      <c r="I1650" s="3" t="str">
        <f>"1"</f>
        <v>1</v>
      </c>
      <c r="J1650" s="3" t="str">
        <f>"20000"</f>
        <v>20000</v>
      </c>
      <c r="K1650" s="2">
        <v>45871</v>
      </c>
      <c r="L1650" s="2">
        <v>45885</v>
      </c>
      <c r="M1650" s="1" t="s">
        <v>6981</v>
      </c>
      <c r="N1650" s="1" t="s">
        <v>6983</v>
      </c>
    </row>
    <row r="1651" spans="1:14" x14ac:dyDescent="0.35">
      <c r="A1651" s="1" t="s">
        <v>4321</v>
      </c>
      <c r="B1651" s="3" t="s">
        <v>1317</v>
      </c>
      <c r="C1651" s="1" t="s">
        <v>1318</v>
      </c>
      <c r="D1651" s="1" t="s">
        <v>6982</v>
      </c>
      <c r="E1651" s="1" t="str">
        <f>"2330"</f>
        <v>2330</v>
      </c>
      <c r="F1651" s="1" t="str">
        <f>"015183809"</f>
        <v>015183809</v>
      </c>
      <c r="G1651" s="1" t="s">
        <v>617</v>
      </c>
      <c r="H1651" s="1" t="s">
        <v>15</v>
      </c>
      <c r="I1651" s="3" t="str">
        <f>"1"</f>
        <v>1</v>
      </c>
      <c r="J1651" s="3" t="str">
        <f>"20000"</f>
        <v>20000</v>
      </c>
      <c r="K1651" s="2">
        <v>45871</v>
      </c>
      <c r="L1651" s="2">
        <v>45885</v>
      </c>
      <c r="M1651" s="1" t="s">
        <v>6981</v>
      </c>
      <c r="N1651" s="1" t="s">
        <v>6980</v>
      </c>
    </row>
    <row r="1652" spans="1:14" x14ac:dyDescent="0.35">
      <c r="A1652" s="1" t="s">
        <v>4321</v>
      </c>
      <c r="B1652" s="3" t="s">
        <v>1317</v>
      </c>
      <c r="C1652" s="1" t="s">
        <v>1318</v>
      </c>
      <c r="D1652" s="1" t="s">
        <v>6979</v>
      </c>
      <c r="E1652" s="1" t="str">
        <f>"2340"</f>
        <v>2340</v>
      </c>
      <c r="F1652" s="1" t="str">
        <f>"015066222"</f>
        <v>015066222</v>
      </c>
      <c r="G1652" s="1" t="s">
        <v>623</v>
      </c>
      <c r="H1652" s="1" t="s">
        <v>15</v>
      </c>
      <c r="I1652" s="3" t="str">
        <f>"1"</f>
        <v>1</v>
      </c>
      <c r="J1652" s="3" t="str">
        <f>"16104"</f>
        <v>16104</v>
      </c>
      <c r="K1652" s="2">
        <v>45871</v>
      </c>
      <c r="L1652" s="2">
        <v>45885</v>
      </c>
      <c r="M1652" s="1" t="s">
        <v>6978</v>
      </c>
      <c r="N1652" s="1" t="s">
        <v>6977</v>
      </c>
    </row>
    <row r="1653" spans="1:14" x14ac:dyDescent="0.35">
      <c r="A1653" s="1" t="s">
        <v>4321</v>
      </c>
      <c r="B1653" s="3" t="s">
        <v>1317</v>
      </c>
      <c r="C1653" s="1" t="s">
        <v>1318</v>
      </c>
      <c r="D1653" s="1" t="s">
        <v>6976</v>
      </c>
      <c r="E1653" s="1" t="str">
        <f>"2340"</f>
        <v>2340</v>
      </c>
      <c r="F1653" s="1" t="str">
        <f>"015066222"</f>
        <v>015066222</v>
      </c>
      <c r="G1653" s="1" t="s">
        <v>623</v>
      </c>
      <c r="H1653" s="1" t="s">
        <v>15</v>
      </c>
      <c r="I1653" s="3" t="str">
        <f>"1"</f>
        <v>1</v>
      </c>
      <c r="J1653" s="3" t="str">
        <f>"16104"</f>
        <v>16104</v>
      </c>
      <c r="K1653" s="2">
        <v>45871</v>
      </c>
      <c r="L1653" s="2">
        <v>45885</v>
      </c>
      <c r="M1653" s="1" t="s">
        <v>6975</v>
      </c>
      <c r="N1653" s="1" t="s">
        <v>6974</v>
      </c>
    </row>
    <row r="1654" spans="1:14" x14ac:dyDescent="0.35">
      <c r="A1654" s="1" t="s">
        <v>4321</v>
      </c>
      <c r="B1654" s="3" t="s">
        <v>3183</v>
      </c>
      <c r="C1654" s="1" t="s">
        <v>3256</v>
      </c>
      <c r="D1654" s="1" t="s">
        <v>6973</v>
      </c>
      <c r="E1654" s="1" t="str">
        <f>"2320"</f>
        <v>2320</v>
      </c>
      <c r="F1654" s="1" t="s">
        <v>321</v>
      </c>
      <c r="G1654" s="1" t="s">
        <v>322</v>
      </c>
      <c r="H1654" s="1" t="s">
        <v>15</v>
      </c>
      <c r="I1654" s="3" t="str">
        <f>"1"</f>
        <v>1</v>
      </c>
      <c r="J1654" s="3">
        <v>22164.45</v>
      </c>
      <c r="K1654" s="2">
        <v>45871</v>
      </c>
      <c r="L1654" s="2">
        <v>45885</v>
      </c>
      <c r="M1654" s="1" t="s">
        <v>6972</v>
      </c>
      <c r="N1654" s="1" t="s">
        <v>6971</v>
      </c>
    </row>
    <row r="1655" spans="1:14" x14ac:dyDescent="0.35">
      <c r="A1655" s="1" t="s">
        <v>4321</v>
      </c>
      <c r="B1655" s="3" t="s">
        <v>2987</v>
      </c>
      <c r="C1655" s="1" t="s">
        <v>3065</v>
      </c>
      <c r="D1655" s="1" t="s">
        <v>6970</v>
      </c>
      <c r="E1655" s="1" t="str">
        <f>"3930"</f>
        <v>3930</v>
      </c>
      <c r="F1655" s="1" t="str">
        <f>"011580849"</f>
        <v>011580849</v>
      </c>
      <c r="G1655" s="1" t="s">
        <v>2176</v>
      </c>
      <c r="H1655" s="1" t="s">
        <v>15</v>
      </c>
      <c r="I1655" s="3" t="str">
        <f>"1"</f>
        <v>1</v>
      </c>
      <c r="J1655" s="3" t="str">
        <f>"72370"</f>
        <v>72370</v>
      </c>
      <c r="K1655" s="2">
        <v>45871</v>
      </c>
      <c r="L1655" s="2">
        <v>45885</v>
      </c>
      <c r="M1655" s="1" t="s">
        <v>6969</v>
      </c>
      <c r="N1655" s="1" t="s">
        <v>6968</v>
      </c>
    </row>
    <row r="1656" spans="1:14" x14ac:dyDescent="0.35">
      <c r="A1656" s="1" t="s">
        <v>4321</v>
      </c>
      <c r="B1656" s="3" t="s">
        <v>3885</v>
      </c>
      <c r="C1656" s="1" t="s">
        <v>4022</v>
      </c>
      <c r="D1656" s="1" t="s">
        <v>6967</v>
      </c>
      <c r="E1656" s="1" t="str">
        <f>"2320"</f>
        <v>2320</v>
      </c>
      <c r="F1656" s="1" t="s">
        <v>321</v>
      </c>
      <c r="G1656" s="1" t="s">
        <v>322</v>
      </c>
      <c r="H1656" s="1" t="s">
        <v>15</v>
      </c>
      <c r="I1656" s="3" t="str">
        <f>"1"</f>
        <v>1</v>
      </c>
      <c r="J1656" s="3">
        <v>22164.45</v>
      </c>
      <c r="K1656" s="2">
        <v>45871</v>
      </c>
      <c r="L1656" s="2">
        <v>45885</v>
      </c>
      <c r="M1656" s="1" t="s">
        <v>6966</v>
      </c>
      <c r="N1656" s="1" t="s">
        <v>6965</v>
      </c>
    </row>
    <row r="1657" spans="1:14" x14ac:dyDescent="0.35">
      <c r="A1657" s="1" t="s">
        <v>4321</v>
      </c>
      <c r="B1657" s="3" t="s">
        <v>1857</v>
      </c>
      <c r="C1657" s="1" t="s">
        <v>1929</v>
      </c>
      <c r="D1657" s="1" t="s">
        <v>6964</v>
      </c>
      <c r="E1657" s="1" t="str">
        <f>"2360"</f>
        <v>2360</v>
      </c>
      <c r="F1657" s="1" t="str">
        <f>"016629084"</f>
        <v>016629084</v>
      </c>
      <c r="G1657" s="1" t="s">
        <v>14</v>
      </c>
      <c r="H1657" s="1" t="s">
        <v>15</v>
      </c>
      <c r="I1657" s="3" t="str">
        <f>"1"</f>
        <v>1</v>
      </c>
      <c r="J1657" s="3" t="str">
        <f>"200000"</f>
        <v>200000</v>
      </c>
      <c r="K1657" s="2">
        <v>45852</v>
      </c>
      <c r="L1657" s="2">
        <v>45885</v>
      </c>
      <c r="M1657" s="1" t="s">
        <v>6963</v>
      </c>
      <c r="N1657" s="1" t="s">
        <v>6962</v>
      </c>
    </row>
    <row r="1658" spans="1:14" x14ac:dyDescent="0.35">
      <c r="A1658" s="1" t="s">
        <v>4321</v>
      </c>
      <c r="B1658" s="3" t="s">
        <v>2145</v>
      </c>
      <c r="C1658" s="1" t="s">
        <v>2213</v>
      </c>
      <c r="D1658" s="1" t="s">
        <v>6961</v>
      </c>
      <c r="E1658" s="1" t="str">
        <f>"5855"</f>
        <v>5855</v>
      </c>
      <c r="F1658" s="1" t="str">
        <f>"016006437"</f>
        <v>016006437</v>
      </c>
      <c r="G1658" s="1" t="s">
        <v>5611</v>
      </c>
      <c r="H1658" s="1" t="s">
        <v>15</v>
      </c>
      <c r="I1658" s="3" t="str">
        <f>"5"</f>
        <v>5</v>
      </c>
      <c r="J1658" s="3" t="str">
        <f>"15735"</f>
        <v>15735</v>
      </c>
      <c r="K1658" s="2">
        <v>45883</v>
      </c>
      <c r="L1658" s="2">
        <v>45884</v>
      </c>
      <c r="M1658" s="1" t="s">
        <v>6960</v>
      </c>
      <c r="N1658" s="1" t="s">
        <v>4343</v>
      </c>
    </row>
    <row r="1659" spans="1:14" x14ac:dyDescent="0.35">
      <c r="A1659" s="1" t="s">
        <v>4321</v>
      </c>
      <c r="B1659" s="3" t="s">
        <v>1317</v>
      </c>
      <c r="C1659" s="1" t="s">
        <v>1381</v>
      </c>
      <c r="D1659" s="1" t="s">
        <v>6959</v>
      </c>
      <c r="E1659" s="1" t="str">
        <f>"5855"</f>
        <v>5855</v>
      </c>
      <c r="F1659" s="1" t="str">
        <f>"016006437"</f>
        <v>016006437</v>
      </c>
      <c r="G1659" s="1" t="s">
        <v>5611</v>
      </c>
      <c r="H1659" s="1" t="s">
        <v>15</v>
      </c>
      <c r="I1659" s="3" t="str">
        <f>"5"</f>
        <v>5</v>
      </c>
      <c r="J1659" s="3" t="str">
        <f>"15735"</f>
        <v>15735</v>
      </c>
      <c r="K1659" s="2">
        <v>45883</v>
      </c>
      <c r="L1659" s="2">
        <v>45884</v>
      </c>
      <c r="M1659" s="1" t="s">
        <v>6958</v>
      </c>
      <c r="N1659" s="1" t="s">
        <v>4387</v>
      </c>
    </row>
    <row r="1660" spans="1:14" x14ac:dyDescent="0.35">
      <c r="A1660" s="1" t="s">
        <v>4321</v>
      </c>
      <c r="B1660" s="3" t="s">
        <v>2000</v>
      </c>
      <c r="C1660" s="1" t="s">
        <v>2065</v>
      </c>
      <c r="D1660" s="1" t="s">
        <v>6957</v>
      </c>
      <c r="E1660" s="1" t="str">
        <f>"5855"</f>
        <v>5855</v>
      </c>
      <c r="F1660" s="1" t="str">
        <f>"016006437"</f>
        <v>016006437</v>
      </c>
      <c r="G1660" s="1" t="s">
        <v>5611</v>
      </c>
      <c r="H1660" s="1" t="s">
        <v>15</v>
      </c>
      <c r="I1660" s="3" t="str">
        <f>"3"</f>
        <v>3</v>
      </c>
      <c r="J1660" s="3" t="str">
        <f>"15735"</f>
        <v>15735</v>
      </c>
      <c r="K1660" s="2">
        <v>45883</v>
      </c>
      <c r="L1660" s="2">
        <v>45884</v>
      </c>
      <c r="M1660" s="1" t="s">
        <v>2067</v>
      </c>
      <c r="N1660" s="1" t="s">
        <v>4343</v>
      </c>
    </row>
    <row r="1661" spans="1:14" x14ac:dyDescent="0.35">
      <c r="A1661" s="1" t="s">
        <v>4321</v>
      </c>
      <c r="B1661" s="3" t="s">
        <v>2244</v>
      </c>
      <c r="C1661" s="1" t="s">
        <v>2245</v>
      </c>
      <c r="D1661" s="1" t="s">
        <v>6956</v>
      </c>
      <c r="E1661" s="1" t="str">
        <f>"5855"</f>
        <v>5855</v>
      </c>
      <c r="F1661" s="1" t="str">
        <f>"016006437"</f>
        <v>016006437</v>
      </c>
      <c r="G1661" s="1" t="s">
        <v>5611</v>
      </c>
      <c r="H1661" s="1" t="s">
        <v>15</v>
      </c>
      <c r="I1661" s="3" t="str">
        <f>"8"</f>
        <v>8</v>
      </c>
      <c r="J1661" s="3" t="str">
        <f>"15735"</f>
        <v>15735</v>
      </c>
      <c r="K1661" s="2">
        <v>45883</v>
      </c>
      <c r="L1661" s="2">
        <v>45884</v>
      </c>
      <c r="M1661" s="1" t="s">
        <v>6955</v>
      </c>
      <c r="N1661" s="1" t="s">
        <v>4343</v>
      </c>
    </row>
    <row r="1662" spans="1:14" x14ac:dyDescent="0.35">
      <c r="A1662" s="1" t="s">
        <v>4321</v>
      </c>
      <c r="B1662" s="3" t="s">
        <v>2244</v>
      </c>
      <c r="C1662" s="1" t="s">
        <v>2245</v>
      </c>
      <c r="D1662" s="1" t="s">
        <v>6954</v>
      </c>
      <c r="E1662" s="1" t="str">
        <f>"5855"</f>
        <v>5855</v>
      </c>
      <c r="F1662" s="1" t="str">
        <f>"015315726"</f>
        <v>015315726</v>
      </c>
      <c r="G1662" s="1" t="s">
        <v>1953</v>
      </c>
      <c r="H1662" s="1" t="s">
        <v>15</v>
      </c>
      <c r="I1662" s="3" t="str">
        <f>"1"</f>
        <v>1</v>
      </c>
      <c r="J1662" s="3" t="str">
        <f>"10089"</f>
        <v>10089</v>
      </c>
      <c r="K1662" s="2">
        <v>45883</v>
      </c>
      <c r="L1662" s="2">
        <v>45884</v>
      </c>
      <c r="M1662" s="1" t="s">
        <v>6953</v>
      </c>
      <c r="N1662" s="1" t="s">
        <v>4343</v>
      </c>
    </row>
    <row r="1663" spans="1:14" x14ac:dyDescent="0.35">
      <c r="A1663" s="1" t="s">
        <v>4321</v>
      </c>
      <c r="B1663" s="3" t="s">
        <v>2987</v>
      </c>
      <c r="C1663" s="1" t="s">
        <v>3097</v>
      </c>
      <c r="D1663" s="1" t="s">
        <v>6952</v>
      </c>
      <c r="E1663" s="1" t="str">
        <f>"5855"</f>
        <v>5855</v>
      </c>
      <c r="F1663" s="1" t="str">
        <f>"016006437"</f>
        <v>016006437</v>
      </c>
      <c r="G1663" s="1" t="s">
        <v>5611</v>
      </c>
      <c r="H1663" s="1" t="s">
        <v>15</v>
      </c>
      <c r="I1663" s="3" t="str">
        <f>"4"</f>
        <v>4</v>
      </c>
      <c r="J1663" s="3" t="str">
        <f>"15735"</f>
        <v>15735</v>
      </c>
      <c r="K1663" s="2">
        <v>45883</v>
      </c>
      <c r="L1663" s="2">
        <v>45884</v>
      </c>
      <c r="M1663" s="1" t="s">
        <v>6951</v>
      </c>
      <c r="N1663" s="1" t="s">
        <v>6950</v>
      </c>
    </row>
    <row r="1664" spans="1:14" x14ac:dyDescent="0.35">
      <c r="A1664" s="1" t="s">
        <v>4321</v>
      </c>
      <c r="B1664" s="3" t="s">
        <v>2248</v>
      </c>
      <c r="C1664" s="1" t="s">
        <v>2265</v>
      </c>
      <c r="D1664" s="1" t="s">
        <v>6949</v>
      </c>
      <c r="E1664" s="1" t="str">
        <f>"5855"</f>
        <v>5855</v>
      </c>
      <c r="F1664" s="1" t="str">
        <f>"015315726"</f>
        <v>015315726</v>
      </c>
      <c r="G1664" s="1" t="s">
        <v>1953</v>
      </c>
      <c r="H1664" s="1" t="s">
        <v>15</v>
      </c>
      <c r="I1664" s="3" t="str">
        <f>"1"</f>
        <v>1</v>
      </c>
      <c r="J1664" s="3" t="str">
        <f>"10089"</f>
        <v>10089</v>
      </c>
      <c r="K1664" s="2">
        <v>45882</v>
      </c>
      <c r="L1664" s="2">
        <v>45884</v>
      </c>
      <c r="M1664" s="1" t="s">
        <v>6948</v>
      </c>
      <c r="N1664" s="1" t="s">
        <v>4343</v>
      </c>
    </row>
    <row r="1665" spans="1:14" x14ac:dyDescent="0.35">
      <c r="A1665" s="1" t="s">
        <v>4321</v>
      </c>
      <c r="B1665" s="3" t="s">
        <v>1699</v>
      </c>
      <c r="C1665" s="1" t="s">
        <v>1764</v>
      </c>
      <c r="D1665" s="1" t="s">
        <v>6947</v>
      </c>
      <c r="E1665" s="1" t="str">
        <f>"7110"</f>
        <v>7110</v>
      </c>
      <c r="F1665" s="1" t="str">
        <f>"014936759"</f>
        <v>014936759</v>
      </c>
      <c r="G1665" s="1" t="s">
        <v>6946</v>
      </c>
      <c r="H1665" s="1" t="s">
        <v>15</v>
      </c>
      <c r="I1665" s="3" t="str">
        <f>"1"</f>
        <v>1</v>
      </c>
      <c r="J1665" s="3">
        <v>827.71</v>
      </c>
      <c r="K1665" s="2">
        <v>45882</v>
      </c>
      <c r="L1665" s="2">
        <v>45884</v>
      </c>
      <c r="M1665" s="1" t="s">
        <v>6945</v>
      </c>
      <c r="N1665" s="1" t="s">
        <v>6944</v>
      </c>
    </row>
    <row r="1666" spans="1:14" x14ac:dyDescent="0.35">
      <c r="A1666" s="1" t="s">
        <v>4321</v>
      </c>
      <c r="B1666" s="3" t="s">
        <v>3105</v>
      </c>
      <c r="C1666" s="1" t="s">
        <v>3154</v>
      </c>
      <c r="D1666" s="1" t="s">
        <v>6943</v>
      </c>
      <c r="E1666" s="1" t="str">
        <f>"8465"</f>
        <v>8465</v>
      </c>
      <c r="F1666" s="1" t="str">
        <f>"017024101"</f>
        <v>017024101</v>
      </c>
      <c r="G1666" s="1" t="s">
        <v>2353</v>
      </c>
      <c r="H1666" s="1" t="s">
        <v>847</v>
      </c>
      <c r="I1666" s="3" t="str">
        <f>"4"</f>
        <v>4</v>
      </c>
      <c r="J1666" s="3">
        <v>27.88</v>
      </c>
      <c r="K1666" s="2">
        <v>45879</v>
      </c>
      <c r="L1666" s="2">
        <v>45884</v>
      </c>
      <c r="M1666" s="1" t="s">
        <v>6942</v>
      </c>
      <c r="N1666" s="1" t="s">
        <v>6941</v>
      </c>
    </row>
    <row r="1667" spans="1:14" x14ac:dyDescent="0.35">
      <c r="A1667" s="1" t="s">
        <v>4321</v>
      </c>
      <c r="B1667" s="3" t="s">
        <v>3105</v>
      </c>
      <c r="C1667" s="1" t="s">
        <v>3106</v>
      </c>
      <c r="D1667" s="1" t="s">
        <v>6940</v>
      </c>
      <c r="E1667" s="1" t="str">
        <f>"4240"</f>
        <v>4240</v>
      </c>
      <c r="F1667" s="1" t="str">
        <f>"015700319"</f>
        <v>015700319</v>
      </c>
      <c r="G1667" s="1" t="s">
        <v>830</v>
      </c>
      <c r="H1667" s="1" t="s">
        <v>15</v>
      </c>
      <c r="I1667" s="3" t="str">
        <f>"6"</f>
        <v>6</v>
      </c>
      <c r="J1667" s="3">
        <v>39.07</v>
      </c>
      <c r="K1667" s="2">
        <v>45878</v>
      </c>
      <c r="L1667" s="2">
        <v>45884</v>
      </c>
      <c r="M1667" s="1" t="s">
        <v>6939</v>
      </c>
      <c r="N1667" s="1" t="s">
        <v>6938</v>
      </c>
    </row>
    <row r="1668" spans="1:14" x14ac:dyDescent="0.35">
      <c r="A1668" s="1" t="s">
        <v>4321</v>
      </c>
      <c r="B1668" s="3" t="s">
        <v>1407</v>
      </c>
      <c r="C1668" s="1" t="s">
        <v>1420</v>
      </c>
      <c r="D1668" s="1" t="s">
        <v>6937</v>
      </c>
      <c r="E1668" s="1" t="str">
        <f>"8465"</f>
        <v>8465</v>
      </c>
      <c r="F1668" s="1" t="str">
        <f>"016036613"</f>
        <v>016036613</v>
      </c>
      <c r="G1668" s="1" t="s">
        <v>804</v>
      </c>
      <c r="H1668" s="1" t="s">
        <v>15</v>
      </c>
      <c r="I1668" s="3" t="str">
        <f>"1"</f>
        <v>1</v>
      </c>
      <c r="J1668" s="3">
        <v>411.37</v>
      </c>
      <c r="K1668" s="2">
        <v>45874</v>
      </c>
      <c r="L1668" s="2">
        <v>45884</v>
      </c>
      <c r="M1668" s="1" t="s">
        <v>6936</v>
      </c>
      <c r="N1668" s="1" t="s">
        <v>6935</v>
      </c>
    </row>
    <row r="1669" spans="1:14" x14ac:dyDescent="0.35">
      <c r="A1669" s="1" t="s">
        <v>4321</v>
      </c>
      <c r="B1669" s="3" t="s">
        <v>1699</v>
      </c>
      <c r="C1669" s="1" t="s">
        <v>1740</v>
      </c>
      <c r="D1669" s="1" t="s">
        <v>6934</v>
      </c>
      <c r="E1669" s="1" t="str">
        <f>"4220"</f>
        <v>4220</v>
      </c>
      <c r="F1669" s="1" t="str">
        <f>"014629685"</f>
        <v>014629685</v>
      </c>
      <c r="G1669" s="1" t="s">
        <v>1748</v>
      </c>
      <c r="H1669" s="1" t="s">
        <v>15</v>
      </c>
      <c r="I1669" s="3" t="str">
        <f>"2"</f>
        <v>2</v>
      </c>
      <c r="J1669" s="3">
        <v>1539.92</v>
      </c>
      <c r="K1669" s="2">
        <v>45873</v>
      </c>
      <c r="L1669" s="2">
        <v>45884</v>
      </c>
      <c r="M1669" s="1" t="s">
        <v>6933</v>
      </c>
      <c r="N1669" s="1" t="s">
        <v>6932</v>
      </c>
    </row>
    <row r="1670" spans="1:14" x14ac:dyDescent="0.35">
      <c r="A1670" s="1" t="s">
        <v>4321</v>
      </c>
      <c r="B1670" s="3" t="s">
        <v>3183</v>
      </c>
      <c r="C1670" s="1" t="s">
        <v>3364</v>
      </c>
      <c r="D1670" s="1" t="s">
        <v>6931</v>
      </c>
      <c r="E1670" s="1" t="str">
        <f>"1240"</f>
        <v>1240</v>
      </c>
      <c r="F1670" s="1" t="str">
        <f>"016853439"</f>
        <v>016853439</v>
      </c>
      <c r="G1670" s="1" t="s">
        <v>6930</v>
      </c>
      <c r="H1670" s="1" t="s">
        <v>15</v>
      </c>
      <c r="I1670" s="3" t="str">
        <f>"1"</f>
        <v>1</v>
      </c>
      <c r="J1670" s="3">
        <v>2067.1999999999998</v>
      </c>
      <c r="K1670" s="2">
        <v>45871</v>
      </c>
      <c r="L1670" s="2">
        <v>45884</v>
      </c>
      <c r="M1670" s="1" t="s">
        <v>6929</v>
      </c>
      <c r="N1670" s="1" t="s">
        <v>6928</v>
      </c>
    </row>
    <row r="1671" spans="1:14" x14ac:dyDescent="0.35">
      <c r="A1671" s="1" t="s">
        <v>4321</v>
      </c>
      <c r="B1671" s="3" t="s">
        <v>4087</v>
      </c>
      <c r="C1671" s="1" t="s">
        <v>4121</v>
      </c>
      <c r="D1671" s="1" t="s">
        <v>6927</v>
      </c>
      <c r="E1671" s="1" t="str">
        <f>"9930"</f>
        <v>9930</v>
      </c>
      <c r="F1671" s="1" t="str">
        <f>"013316244"</f>
        <v>013316244</v>
      </c>
      <c r="G1671" s="1" t="s">
        <v>1311</v>
      </c>
      <c r="H1671" s="1" t="s">
        <v>15</v>
      </c>
      <c r="I1671" s="3" t="str">
        <f>"11"</f>
        <v>11</v>
      </c>
      <c r="J1671" s="3">
        <v>58.03</v>
      </c>
      <c r="K1671" s="2">
        <v>45867</v>
      </c>
      <c r="L1671" s="2">
        <v>45884</v>
      </c>
      <c r="M1671" s="1" t="s">
        <v>6926</v>
      </c>
      <c r="N1671" s="1" t="s">
        <v>6925</v>
      </c>
    </row>
    <row r="1672" spans="1:14" x14ac:dyDescent="0.35">
      <c r="A1672" s="1" t="s">
        <v>4321</v>
      </c>
      <c r="B1672" s="3" t="s">
        <v>3183</v>
      </c>
      <c r="C1672" s="1" t="s">
        <v>3352</v>
      </c>
      <c r="D1672" s="1" t="s">
        <v>6924</v>
      </c>
      <c r="E1672" s="1" t="str">
        <f>"2340"</f>
        <v>2340</v>
      </c>
      <c r="F1672" s="1" t="s">
        <v>2003</v>
      </c>
      <c r="G1672" s="1" t="s">
        <v>2004</v>
      </c>
      <c r="H1672" s="1" t="s">
        <v>15</v>
      </c>
      <c r="I1672" s="3" t="str">
        <f>"1"</f>
        <v>1</v>
      </c>
      <c r="J1672" s="3" t="str">
        <f>"5000"</f>
        <v>5000</v>
      </c>
      <c r="K1672" s="2">
        <v>45867</v>
      </c>
      <c r="L1672" s="2">
        <v>45884</v>
      </c>
      <c r="M1672" s="1" t="s">
        <v>6923</v>
      </c>
      <c r="N1672" s="1" t="s">
        <v>6922</v>
      </c>
    </row>
    <row r="1673" spans="1:14" x14ac:dyDescent="0.35">
      <c r="A1673" s="1" t="s">
        <v>4321</v>
      </c>
      <c r="B1673" s="3" t="s">
        <v>806</v>
      </c>
      <c r="C1673" s="1" t="s">
        <v>1079</v>
      </c>
      <c r="D1673" s="1" t="s">
        <v>6921</v>
      </c>
      <c r="E1673" s="1" t="str">
        <f>"6260"</f>
        <v>6260</v>
      </c>
      <c r="F1673" s="1" t="str">
        <f>"011785559"</f>
        <v>011785559</v>
      </c>
      <c r="G1673" s="1" t="s">
        <v>657</v>
      </c>
      <c r="H1673" s="1" t="s">
        <v>290</v>
      </c>
      <c r="I1673" s="3" t="str">
        <f>"46"</f>
        <v>46</v>
      </c>
      <c r="J1673" s="3">
        <v>28.94</v>
      </c>
      <c r="K1673" s="2">
        <v>45867</v>
      </c>
      <c r="L1673" s="2">
        <v>45884</v>
      </c>
      <c r="M1673" s="1" t="s">
        <v>1205</v>
      </c>
      <c r="N1673" s="1" t="s">
        <v>6920</v>
      </c>
    </row>
    <row r="1674" spans="1:14" x14ac:dyDescent="0.35">
      <c r="A1674" s="1" t="s">
        <v>4321</v>
      </c>
      <c r="B1674" s="3" t="s">
        <v>3183</v>
      </c>
      <c r="C1674" s="1" t="s">
        <v>3228</v>
      </c>
      <c r="D1674" s="1" t="s">
        <v>6919</v>
      </c>
      <c r="E1674" s="1" t="str">
        <f>"2330"</f>
        <v>2330</v>
      </c>
      <c r="F1674" s="1" t="s">
        <v>70</v>
      </c>
      <c r="G1674" s="1" t="s">
        <v>71</v>
      </c>
      <c r="H1674" s="1" t="s">
        <v>15</v>
      </c>
      <c r="I1674" s="3" t="str">
        <f>"1"</f>
        <v>1</v>
      </c>
      <c r="J1674" s="3">
        <v>676.47</v>
      </c>
      <c r="K1674" s="2">
        <v>45866</v>
      </c>
      <c r="L1674" s="2">
        <v>45884</v>
      </c>
      <c r="M1674" s="1" t="s">
        <v>6918</v>
      </c>
      <c r="N1674" s="1" t="s">
        <v>6917</v>
      </c>
    </row>
    <row r="1675" spans="1:14" x14ac:dyDescent="0.35">
      <c r="A1675" s="1" t="s">
        <v>4321</v>
      </c>
      <c r="B1675" s="3" t="s">
        <v>2720</v>
      </c>
      <c r="C1675" s="1" t="s">
        <v>2931</v>
      </c>
      <c r="D1675" s="1" t="s">
        <v>6916</v>
      </c>
      <c r="E1675" s="1" t="str">
        <f>"5855"</f>
        <v>5855</v>
      </c>
      <c r="F1675" s="1" t="str">
        <f>"015615153"</f>
        <v>015615153</v>
      </c>
      <c r="G1675" s="1" t="s">
        <v>6913</v>
      </c>
      <c r="H1675" s="1" t="s">
        <v>15</v>
      </c>
      <c r="I1675" s="3" t="str">
        <f>"1"</f>
        <v>1</v>
      </c>
      <c r="J1675" s="3">
        <v>1747.17</v>
      </c>
      <c r="K1675" s="2">
        <v>45866</v>
      </c>
      <c r="L1675" s="2">
        <v>45884</v>
      </c>
      <c r="M1675" s="1" t="s">
        <v>2937</v>
      </c>
      <c r="N1675" s="1" t="s">
        <v>6915</v>
      </c>
    </row>
    <row r="1676" spans="1:14" x14ac:dyDescent="0.35">
      <c r="A1676" s="1" t="s">
        <v>4321</v>
      </c>
      <c r="B1676" s="3" t="s">
        <v>2720</v>
      </c>
      <c r="C1676" s="1" t="s">
        <v>2931</v>
      </c>
      <c r="D1676" s="1" t="s">
        <v>6914</v>
      </c>
      <c r="E1676" s="1" t="str">
        <f>"5855"</f>
        <v>5855</v>
      </c>
      <c r="F1676" s="1" t="str">
        <f>"015615153"</f>
        <v>015615153</v>
      </c>
      <c r="G1676" s="1" t="s">
        <v>6913</v>
      </c>
      <c r="H1676" s="1" t="s">
        <v>15</v>
      </c>
      <c r="I1676" s="3" t="str">
        <f>"1"</f>
        <v>1</v>
      </c>
      <c r="J1676" s="3">
        <v>1747.17</v>
      </c>
      <c r="K1676" s="2">
        <v>45866</v>
      </c>
      <c r="L1676" s="2">
        <v>45884</v>
      </c>
      <c r="M1676" s="1" t="s">
        <v>2937</v>
      </c>
      <c r="N1676" s="1" t="s">
        <v>6912</v>
      </c>
    </row>
    <row r="1677" spans="1:14" x14ac:dyDescent="0.35">
      <c r="A1677" s="1" t="s">
        <v>4321</v>
      </c>
      <c r="B1677" s="3" t="s">
        <v>806</v>
      </c>
      <c r="C1677" s="1" t="s">
        <v>870</v>
      </c>
      <c r="D1677" s="1" t="s">
        <v>6911</v>
      </c>
      <c r="E1677" s="1" t="str">
        <f>"6350"</f>
        <v>6350</v>
      </c>
      <c r="F1677" s="1" t="str">
        <f>"015621768"</f>
        <v>015621768</v>
      </c>
      <c r="G1677" s="1" t="s">
        <v>6910</v>
      </c>
      <c r="H1677" s="1" t="s">
        <v>15</v>
      </c>
      <c r="I1677" s="3" t="str">
        <f>"1"</f>
        <v>1</v>
      </c>
      <c r="J1677" s="3" t="str">
        <f>"20000"</f>
        <v>20000</v>
      </c>
      <c r="K1677" s="2">
        <v>45859</v>
      </c>
      <c r="L1677" s="2">
        <v>45884</v>
      </c>
      <c r="M1677" s="1" t="s">
        <v>6909</v>
      </c>
      <c r="N1677" s="1" t="s">
        <v>6908</v>
      </c>
    </row>
    <row r="1678" spans="1:14" x14ac:dyDescent="0.35">
      <c r="A1678" s="1" t="s">
        <v>4321</v>
      </c>
      <c r="B1678" s="3" t="s">
        <v>1987</v>
      </c>
      <c r="C1678" s="1" t="s">
        <v>1988</v>
      </c>
      <c r="D1678" s="1" t="s">
        <v>6907</v>
      </c>
      <c r="E1678" s="1" t="str">
        <f>"2330"</f>
        <v>2330</v>
      </c>
      <c r="F1678" s="1" t="s">
        <v>70</v>
      </c>
      <c r="G1678" s="1" t="s">
        <v>71</v>
      </c>
      <c r="H1678" s="1" t="s">
        <v>15</v>
      </c>
      <c r="I1678" s="3" t="str">
        <f>"1"</f>
        <v>1</v>
      </c>
      <c r="J1678" s="3" t="str">
        <f>"10000"</f>
        <v>10000</v>
      </c>
      <c r="K1678" s="2">
        <v>45848</v>
      </c>
      <c r="L1678" s="2">
        <v>45884</v>
      </c>
      <c r="M1678" s="1" t="s">
        <v>6906</v>
      </c>
      <c r="N1678" s="1" t="s">
        <v>6905</v>
      </c>
    </row>
    <row r="1679" spans="1:14" x14ac:dyDescent="0.35">
      <c r="A1679" s="1" t="s">
        <v>4321</v>
      </c>
      <c r="B1679" s="3" t="s">
        <v>2720</v>
      </c>
      <c r="C1679" s="1" t="s">
        <v>2931</v>
      </c>
      <c r="D1679" s="1" t="s">
        <v>6904</v>
      </c>
      <c r="E1679" s="1" t="str">
        <f>"6545"</f>
        <v>6545</v>
      </c>
      <c r="F1679" s="1" t="s">
        <v>6588</v>
      </c>
      <c r="G1679" s="1" t="s">
        <v>6587</v>
      </c>
      <c r="H1679" s="1" t="s">
        <v>15</v>
      </c>
      <c r="I1679" s="3" t="str">
        <f>"50"</f>
        <v>50</v>
      </c>
      <c r="J1679" s="3">
        <v>109.73</v>
      </c>
      <c r="K1679" s="2">
        <v>45882</v>
      </c>
      <c r="L1679" s="2">
        <v>45883</v>
      </c>
      <c r="M1679" s="1" t="s">
        <v>6903</v>
      </c>
      <c r="N1679" s="1" t="s">
        <v>4343</v>
      </c>
    </row>
    <row r="1680" spans="1:14" x14ac:dyDescent="0.35">
      <c r="A1680" s="1" t="s">
        <v>4321</v>
      </c>
      <c r="B1680" s="3" t="s">
        <v>93</v>
      </c>
      <c r="C1680" s="1" t="s">
        <v>450</v>
      </c>
      <c r="D1680" s="1" t="s">
        <v>6902</v>
      </c>
      <c r="E1680" s="1" t="str">
        <f>"4210"</f>
        <v>4210</v>
      </c>
      <c r="F1680" s="1" t="str">
        <f>"015534534"</f>
        <v>015534534</v>
      </c>
      <c r="G1680" s="1" t="s">
        <v>6901</v>
      </c>
      <c r="H1680" s="1" t="s">
        <v>15</v>
      </c>
      <c r="I1680" s="3" t="str">
        <f>"1"</f>
        <v>1</v>
      </c>
      <c r="J1680" s="3" t="str">
        <f>"171116"</f>
        <v>171116</v>
      </c>
      <c r="K1680" s="2">
        <v>45882</v>
      </c>
      <c r="L1680" s="2">
        <v>45883</v>
      </c>
      <c r="M1680" s="1" t="s">
        <v>6900</v>
      </c>
      <c r="N1680" s="1" t="s">
        <v>6899</v>
      </c>
    </row>
    <row r="1681" spans="1:14" x14ac:dyDescent="0.35">
      <c r="A1681" s="1" t="s">
        <v>4321</v>
      </c>
      <c r="B1681" s="3" t="s">
        <v>93</v>
      </c>
      <c r="C1681" s="1" t="s">
        <v>450</v>
      </c>
      <c r="D1681" s="1" t="s">
        <v>6902</v>
      </c>
      <c r="E1681" s="1" t="str">
        <f>"4210"</f>
        <v>4210</v>
      </c>
      <c r="F1681" s="1" t="str">
        <f>"015534534"</f>
        <v>015534534</v>
      </c>
      <c r="G1681" s="1" t="s">
        <v>6901</v>
      </c>
      <c r="H1681" s="1" t="s">
        <v>15</v>
      </c>
      <c r="I1681" s="3" t="str">
        <f>"1"</f>
        <v>1</v>
      </c>
      <c r="J1681" s="3" t="str">
        <f>"171116"</f>
        <v>171116</v>
      </c>
      <c r="K1681" s="2">
        <v>45882</v>
      </c>
      <c r="L1681" s="2">
        <v>45883</v>
      </c>
      <c r="M1681" s="1" t="s">
        <v>6900</v>
      </c>
      <c r="N1681" s="1" t="s">
        <v>6899</v>
      </c>
    </row>
    <row r="1682" spans="1:14" x14ac:dyDescent="0.35">
      <c r="A1682" s="1" t="s">
        <v>4321</v>
      </c>
      <c r="B1682" s="3" t="s">
        <v>3183</v>
      </c>
      <c r="C1682" s="1" t="s">
        <v>3364</v>
      </c>
      <c r="D1682" s="1" t="s">
        <v>6898</v>
      </c>
      <c r="E1682" s="1" t="str">
        <f>"5965"</f>
        <v>5965</v>
      </c>
      <c r="F1682" s="1" t="str">
        <f>"226296584"</f>
        <v>226296584</v>
      </c>
      <c r="G1682" s="1" t="s">
        <v>1389</v>
      </c>
      <c r="H1682" s="1" t="s">
        <v>15</v>
      </c>
      <c r="I1682" s="3" t="str">
        <f>"8"</f>
        <v>8</v>
      </c>
      <c r="J1682" s="3">
        <v>1567.84</v>
      </c>
      <c r="K1682" s="2">
        <v>45881</v>
      </c>
      <c r="L1682" s="2">
        <v>45883</v>
      </c>
      <c r="M1682" s="1" t="s">
        <v>6897</v>
      </c>
      <c r="N1682" s="1" t="s">
        <v>6896</v>
      </c>
    </row>
    <row r="1683" spans="1:14" x14ac:dyDescent="0.35">
      <c r="A1683" s="1" t="s">
        <v>4321</v>
      </c>
      <c r="B1683" s="3" t="s">
        <v>3183</v>
      </c>
      <c r="C1683" s="1" t="s">
        <v>3364</v>
      </c>
      <c r="D1683" s="1" t="s">
        <v>6895</v>
      </c>
      <c r="E1683" s="1" t="str">
        <f>"6720"</f>
        <v>6720</v>
      </c>
      <c r="F1683" s="1" t="s">
        <v>443</v>
      </c>
      <c r="G1683" s="1" t="s">
        <v>444</v>
      </c>
      <c r="H1683" s="1" t="s">
        <v>15</v>
      </c>
      <c r="I1683" s="3" t="str">
        <f>"1"</f>
        <v>1</v>
      </c>
      <c r="J1683" s="3" t="str">
        <f>"1820"</f>
        <v>1820</v>
      </c>
      <c r="K1683" s="2">
        <v>45881</v>
      </c>
      <c r="L1683" s="2">
        <v>45883</v>
      </c>
      <c r="M1683" s="1" t="s">
        <v>6894</v>
      </c>
      <c r="N1683" s="1" t="s">
        <v>6893</v>
      </c>
    </row>
    <row r="1684" spans="1:14" x14ac:dyDescent="0.35">
      <c r="A1684" s="1" t="s">
        <v>4321</v>
      </c>
      <c r="B1684" s="3" t="s">
        <v>4087</v>
      </c>
      <c r="C1684" s="1" t="s">
        <v>4143</v>
      </c>
      <c r="D1684" s="1" t="s">
        <v>6892</v>
      </c>
      <c r="E1684" s="1" t="str">
        <f>"5965"</f>
        <v>5965</v>
      </c>
      <c r="F1684" s="1" t="str">
        <f>"226296584"</f>
        <v>226296584</v>
      </c>
      <c r="G1684" s="1" t="s">
        <v>1389</v>
      </c>
      <c r="H1684" s="1" t="s">
        <v>15</v>
      </c>
      <c r="I1684" s="3" t="str">
        <f>"8"</f>
        <v>8</v>
      </c>
      <c r="J1684" s="3">
        <v>1567.84</v>
      </c>
      <c r="K1684" s="2">
        <v>45881</v>
      </c>
      <c r="L1684" s="2">
        <v>45883</v>
      </c>
      <c r="M1684" s="1" t="s">
        <v>6891</v>
      </c>
      <c r="N1684" s="1" t="s">
        <v>6890</v>
      </c>
    </row>
    <row r="1685" spans="1:14" x14ac:dyDescent="0.35">
      <c r="A1685" s="1" t="s">
        <v>4321</v>
      </c>
      <c r="B1685" s="3" t="s">
        <v>601</v>
      </c>
      <c r="C1685" s="1" t="s">
        <v>667</v>
      </c>
      <c r="D1685" s="1" t="s">
        <v>6889</v>
      </c>
      <c r="E1685" s="1" t="str">
        <f>"6720"</f>
        <v>6720</v>
      </c>
      <c r="F1685" s="1" t="s">
        <v>443</v>
      </c>
      <c r="G1685" s="1" t="s">
        <v>444</v>
      </c>
      <c r="H1685" s="1" t="s">
        <v>15</v>
      </c>
      <c r="I1685" s="3" t="str">
        <f>"1"</f>
        <v>1</v>
      </c>
      <c r="J1685" s="3" t="str">
        <f>"1820"</f>
        <v>1820</v>
      </c>
      <c r="K1685" s="2">
        <v>45881</v>
      </c>
      <c r="L1685" s="2">
        <v>45883</v>
      </c>
      <c r="M1685" s="1" t="s">
        <v>6888</v>
      </c>
      <c r="N1685" s="1" t="s">
        <v>6887</v>
      </c>
    </row>
    <row r="1686" spans="1:14" x14ac:dyDescent="0.35">
      <c r="A1686" s="1" t="s">
        <v>4321</v>
      </c>
      <c r="B1686" s="3" t="s">
        <v>806</v>
      </c>
      <c r="C1686" s="1" t="s">
        <v>866</v>
      </c>
      <c r="D1686" s="1" t="s">
        <v>6886</v>
      </c>
      <c r="E1686" s="1" t="str">
        <f>"5965"</f>
        <v>5965</v>
      </c>
      <c r="F1686" s="1" t="str">
        <f>"226296584"</f>
        <v>226296584</v>
      </c>
      <c r="G1686" s="1" t="s">
        <v>1389</v>
      </c>
      <c r="H1686" s="1" t="s">
        <v>15</v>
      </c>
      <c r="I1686" s="3" t="str">
        <f>"8"</f>
        <v>8</v>
      </c>
      <c r="J1686" s="3">
        <v>1567.84</v>
      </c>
      <c r="K1686" s="2">
        <v>45880</v>
      </c>
      <c r="L1686" s="2">
        <v>45883</v>
      </c>
      <c r="M1686" s="1" t="s">
        <v>6885</v>
      </c>
      <c r="N1686" s="1" t="s">
        <v>4343</v>
      </c>
    </row>
    <row r="1687" spans="1:14" x14ac:dyDescent="0.35">
      <c r="A1687" s="1" t="s">
        <v>4321</v>
      </c>
      <c r="B1687" s="3" t="s">
        <v>806</v>
      </c>
      <c r="C1687" s="1" t="s">
        <v>1079</v>
      </c>
      <c r="D1687" s="1" t="s">
        <v>6884</v>
      </c>
      <c r="E1687" s="1" t="str">
        <f>"7530"</f>
        <v>7530</v>
      </c>
      <c r="F1687" s="1" t="str">
        <f>"002398479"</f>
        <v>002398479</v>
      </c>
      <c r="G1687" s="1" t="s">
        <v>6697</v>
      </c>
      <c r="H1687" s="1" t="s">
        <v>4183</v>
      </c>
      <c r="I1687" s="3" t="str">
        <f>"17"</f>
        <v>17</v>
      </c>
      <c r="J1687" s="3">
        <v>16.600000000000001</v>
      </c>
      <c r="K1687" s="2">
        <v>45880</v>
      </c>
      <c r="L1687" s="2">
        <v>45883</v>
      </c>
      <c r="M1687" s="1" t="s">
        <v>6883</v>
      </c>
      <c r="N1687" s="1" t="s">
        <v>6882</v>
      </c>
    </row>
    <row r="1688" spans="1:14" x14ac:dyDescent="0.35">
      <c r="A1688" s="1" t="s">
        <v>4321</v>
      </c>
      <c r="B1688" s="3" t="s">
        <v>1445</v>
      </c>
      <c r="C1688" s="1" t="s">
        <v>1459</v>
      </c>
      <c r="D1688" s="1" t="s">
        <v>6881</v>
      </c>
      <c r="E1688" s="1" t="str">
        <f>"6720"</f>
        <v>6720</v>
      </c>
      <c r="F1688" s="1" t="s">
        <v>443</v>
      </c>
      <c r="G1688" s="1" t="s">
        <v>444</v>
      </c>
      <c r="H1688" s="1" t="s">
        <v>15</v>
      </c>
      <c r="I1688" s="3" t="str">
        <f>"1"</f>
        <v>1</v>
      </c>
      <c r="J1688" s="3" t="str">
        <f>"1820"</f>
        <v>1820</v>
      </c>
      <c r="K1688" s="2">
        <v>45879</v>
      </c>
      <c r="L1688" s="2">
        <v>45883</v>
      </c>
      <c r="M1688" s="1" t="s">
        <v>6880</v>
      </c>
      <c r="N1688" s="1" t="s">
        <v>6879</v>
      </c>
    </row>
    <row r="1689" spans="1:14" x14ac:dyDescent="0.35">
      <c r="A1689" s="1" t="s">
        <v>4321</v>
      </c>
      <c r="B1689" s="3" t="s">
        <v>3105</v>
      </c>
      <c r="C1689" s="1" t="s">
        <v>3154</v>
      </c>
      <c r="D1689" s="1" t="s">
        <v>6878</v>
      </c>
      <c r="E1689" s="1" t="str">
        <f>"8465"</f>
        <v>8465</v>
      </c>
      <c r="F1689" s="1" t="str">
        <f>"015571570"</f>
        <v>015571570</v>
      </c>
      <c r="G1689" s="1" t="s">
        <v>6877</v>
      </c>
      <c r="H1689" s="1" t="s">
        <v>15</v>
      </c>
      <c r="I1689" s="3" t="str">
        <f>"1"</f>
        <v>1</v>
      </c>
      <c r="J1689" s="3" t="str">
        <f>"465"</f>
        <v>465</v>
      </c>
      <c r="K1689" s="2">
        <v>45879</v>
      </c>
      <c r="L1689" s="2">
        <v>45883</v>
      </c>
      <c r="M1689" s="1" t="s">
        <v>6876</v>
      </c>
      <c r="N1689" s="1" t="s">
        <v>6875</v>
      </c>
    </row>
    <row r="1690" spans="1:14" x14ac:dyDescent="0.35">
      <c r="A1690" s="1" t="s">
        <v>4321</v>
      </c>
      <c r="B1690" s="3" t="s">
        <v>2720</v>
      </c>
      <c r="C1690" s="1" t="s">
        <v>2897</v>
      </c>
      <c r="D1690" s="1" t="s">
        <v>6874</v>
      </c>
      <c r="E1690" s="1" t="str">
        <f>"5855"</f>
        <v>5855</v>
      </c>
      <c r="F1690" s="1" t="s">
        <v>2918</v>
      </c>
      <c r="G1690" s="1" t="s">
        <v>2919</v>
      </c>
      <c r="H1690" s="1" t="s">
        <v>15</v>
      </c>
      <c r="I1690" s="3" t="str">
        <f>"1"</f>
        <v>1</v>
      </c>
      <c r="J1690" s="3" t="str">
        <f>"4800"</f>
        <v>4800</v>
      </c>
      <c r="K1690" s="2">
        <v>45877</v>
      </c>
      <c r="L1690" s="2">
        <v>45883</v>
      </c>
      <c r="M1690" s="1" t="s">
        <v>2920</v>
      </c>
      <c r="N1690" s="1" t="s">
        <v>6873</v>
      </c>
    </row>
    <row r="1691" spans="1:14" x14ac:dyDescent="0.35">
      <c r="A1691" s="1" t="s">
        <v>4321</v>
      </c>
      <c r="B1691" s="3" t="s">
        <v>1407</v>
      </c>
      <c r="C1691" s="1" t="s">
        <v>1420</v>
      </c>
      <c r="D1691" s="1" t="s">
        <v>6872</v>
      </c>
      <c r="E1691" s="1" t="str">
        <f>"8430"</f>
        <v>8430</v>
      </c>
      <c r="F1691" s="1" t="s">
        <v>6871</v>
      </c>
      <c r="G1691" s="1" t="s">
        <v>6870</v>
      </c>
      <c r="H1691" s="1" t="s">
        <v>847</v>
      </c>
      <c r="I1691" s="3" t="str">
        <f>"9"</f>
        <v>9</v>
      </c>
      <c r="J1691" s="3">
        <v>209.99</v>
      </c>
      <c r="K1691" s="2">
        <v>45875</v>
      </c>
      <c r="L1691" s="2">
        <v>45883</v>
      </c>
      <c r="M1691" s="1" t="s">
        <v>6869</v>
      </c>
      <c r="N1691" s="1" t="s">
        <v>6868</v>
      </c>
    </row>
    <row r="1692" spans="1:14" x14ac:dyDescent="0.35">
      <c r="A1692" s="1" t="s">
        <v>4321</v>
      </c>
      <c r="B1692" s="3" t="s">
        <v>2987</v>
      </c>
      <c r="C1692" s="1" t="s">
        <v>3065</v>
      </c>
      <c r="D1692" s="1" t="s">
        <v>6867</v>
      </c>
      <c r="E1692" s="1" t="str">
        <f>"1095"</f>
        <v>1095</v>
      </c>
      <c r="F1692" s="1" t="str">
        <f>"015300833"</f>
        <v>015300833</v>
      </c>
      <c r="G1692" s="1" t="s">
        <v>3067</v>
      </c>
      <c r="H1692" s="1" t="s">
        <v>15</v>
      </c>
      <c r="I1692" s="3" t="str">
        <f>"12"</f>
        <v>12</v>
      </c>
      <c r="J1692" s="3">
        <v>167.28</v>
      </c>
      <c r="K1692" s="2">
        <v>45871</v>
      </c>
      <c r="L1692" s="2">
        <v>45883</v>
      </c>
      <c r="M1692" s="1" t="s">
        <v>6218</v>
      </c>
      <c r="N1692" s="1" t="s">
        <v>6866</v>
      </c>
    </row>
    <row r="1693" spans="1:14" x14ac:dyDescent="0.35">
      <c r="A1693" s="1" t="s">
        <v>4321</v>
      </c>
      <c r="B1693" s="3" t="s">
        <v>4087</v>
      </c>
      <c r="C1693" s="1" t="s">
        <v>4121</v>
      </c>
      <c r="D1693" s="1" t="s">
        <v>6865</v>
      </c>
      <c r="E1693" s="1" t="str">
        <f>"5180"</f>
        <v>5180</v>
      </c>
      <c r="F1693" s="1" t="str">
        <f>"005961474"</f>
        <v>005961474</v>
      </c>
      <c r="G1693" s="1" t="s">
        <v>361</v>
      </c>
      <c r="H1693" s="1" t="s">
        <v>19</v>
      </c>
      <c r="I1693" s="3" t="str">
        <f>"1"</f>
        <v>1</v>
      </c>
      <c r="J1693" s="3" t="str">
        <f>"5688"</f>
        <v>5688</v>
      </c>
      <c r="K1693" s="2">
        <v>45869</v>
      </c>
      <c r="L1693" s="2">
        <v>45883</v>
      </c>
      <c r="M1693" s="1" t="s">
        <v>6864</v>
      </c>
      <c r="N1693" s="1" t="s">
        <v>6863</v>
      </c>
    </row>
    <row r="1694" spans="1:14" x14ac:dyDescent="0.35">
      <c r="A1694" s="1" t="s">
        <v>4321</v>
      </c>
      <c r="B1694" s="3" t="s">
        <v>3513</v>
      </c>
      <c r="C1694" s="1" t="s">
        <v>3790</v>
      </c>
      <c r="D1694" s="1" t="s">
        <v>6862</v>
      </c>
      <c r="E1694" s="1" t="str">
        <f>"2320"</f>
        <v>2320</v>
      </c>
      <c r="F1694" s="1" t="s">
        <v>3361</v>
      </c>
      <c r="G1694" s="1" t="s">
        <v>3362</v>
      </c>
      <c r="H1694" s="1" t="s">
        <v>15</v>
      </c>
      <c r="I1694" s="3" t="str">
        <f>"1"</f>
        <v>1</v>
      </c>
      <c r="J1694" s="3" t="str">
        <f>"876918"</f>
        <v>876918</v>
      </c>
      <c r="K1694" s="2">
        <v>45869</v>
      </c>
      <c r="L1694" s="2">
        <v>45883</v>
      </c>
      <c r="M1694" s="1" t="s">
        <v>3792</v>
      </c>
      <c r="N1694" s="1" t="s">
        <v>6861</v>
      </c>
    </row>
    <row r="1695" spans="1:14" x14ac:dyDescent="0.35">
      <c r="A1695" s="1" t="s">
        <v>4321</v>
      </c>
      <c r="B1695" s="3" t="s">
        <v>1699</v>
      </c>
      <c r="C1695" s="1" t="s">
        <v>1704</v>
      </c>
      <c r="D1695" s="1" t="s">
        <v>6860</v>
      </c>
      <c r="E1695" s="1" t="str">
        <f>"2320"</f>
        <v>2320</v>
      </c>
      <c r="F1695" s="1" t="s">
        <v>321</v>
      </c>
      <c r="G1695" s="1" t="s">
        <v>322</v>
      </c>
      <c r="H1695" s="1" t="s">
        <v>15</v>
      </c>
      <c r="I1695" s="3" t="str">
        <f>"1"</f>
        <v>1</v>
      </c>
      <c r="J1695" s="3" t="str">
        <f>"134596"</f>
        <v>134596</v>
      </c>
      <c r="K1695" s="2">
        <v>45867</v>
      </c>
      <c r="L1695" s="2">
        <v>45883</v>
      </c>
      <c r="M1695" s="1" t="s">
        <v>6859</v>
      </c>
      <c r="N1695" s="1" t="s">
        <v>6858</v>
      </c>
    </row>
    <row r="1696" spans="1:14" x14ac:dyDescent="0.35">
      <c r="A1696" s="1" t="s">
        <v>4321</v>
      </c>
      <c r="B1696" s="3" t="s">
        <v>3513</v>
      </c>
      <c r="C1696" s="1" t="s">
        <v>3672</v>
      </c>
      <c r="D1696" s="1" t="s">
        <v>6857</v>
      </c>
      <c r="E1696" s="1" t="str">
        <f>"5660"</f>
        <v>5660</v>
      </c>
      <c r="F1696" s="1" t="str">
        <f>"014956363"</f>
        <v>014956363</v>
      </c>
      <c r="G1696" s="1" t="s">
        <v>171</v>
      </c>
      <c r="H1696" s="1" t="s">
        <v>15</v>
      </c>
      <c r="I1696" s="3" t="str">
        <f>"6"</f>
        <v>6</v>
      </c>
      <c r="J1696" s="3">
        <v>809.91</v>
      </c>
      <c r="K1696" s="2">
        <v>45867</v>
      </c>
      <c r="L1696" s="2">
        <v>45883</v>
      </c>
      <c r="M1696" s="1" t="s">
        <v>6292</v>
      </c>
      <c r="N1696" s="1" t="s">
        <v>6856</v>
      </c>
    </row>
    <row r="1697" spans="1:14" x14ac:dyDescent="0.35">
      <c r="A1697" s="1" t="s">
        <v>4321</v>
      </c>
      <c r="B1697" s="3" t="s">
        <v>3513</v>
      </c>
      <c r="C1697" s="1" t="s">
        <v>3672</v>
      </c>
      <c r="D1697" s="1" t="s">
        <v>6855</v>
      </c>
      <c r="E1697" s="1" t="str">
        <f>"5660"</f>
        <v>5660</v>
      </c>
      <c r="F1697" s="1" t="str">
        <f>"014956363"</f>
        <v>014956363</v>
      </c>
      <c r="G1697" s="1" t="s">
        <v>171</v>
      </c>
      <c r="H1697" s="1" t="s">
        <v>15</v>
      </c>
      <c r="I1697" s="3" t="str">
        <f>"33"</f>
        <v>33</v>
      </c>
      <c r="J1697" s="3">
        <v>809.91</v>
      </c>
      <c r="K1697" s="2">
        <v>45867</v>
      </c>
      <c r="L1697" s="2">
        <v>45883</v>
      </c>
      <c r="M1697" s="1" t="s">
        <v>6292</v>
      </c>
      <c r="N1697" s="1" t="s">
        <v>6854</v>
      </c>
    </row>
    <row r="1698" spans="1:14" x14ac:dyDescent="0.35">
      <c r="A1698" s="1" t="s">
        <v>4321</v>
      </c>
      <c r="B1698" s="3" t="s">
        <v>3513</v>
      </c>
      <c r="C1698" s="1" t="s">
        <v>3801</v>
      </c>
      <c r="D1698" s="1" t="s">
        <v>6853</v>
      </c>
      <c r="E1698" s="1" t="str">
        <f>"7110"</f>
        <v>7110</v>
      </c>
      <c r="F1698" s="1" t="s">
        <v>1782</v>
      </c>
      <c r="G1698" s="1" t="s">
        <v>1783</v>
      </c>
      <c r="H1698" s="1" t="s">
        <v>15</v>
      </c>
      <c r="I1698" s="3" t="str">
        <f>"2"</f>
        <v>2</v>
      </c>
      <c r="J1698" s="3" t="str">
        <f>"750"</f>
        <v>750</v>
      </c>
      <c r="K1698" s="2">
        <v>45864</v>
      </c>
      <c r="L1698" s="2">
        <v>45883</v>
      </c>
      <c r="M1698" s="1" t="s">
        <v>6852</v>
      </c>
      <c r="N1698" s="1" t="s">
        <v>6851</v>
      </c>
    </row>
    <row r="1699" spans="1:14" x14ac:dyDescent="0.35">
      <c r="A1699" s="1" t="s">
        <v>4321</v>
      </c>
      <c r="B1699" s="3" t="s">
        <v>93</v>
      </c>
      <c r="C1699" s="1" t="s">
        <v>305</v>
      </c>
      <c r="D1699" s="1" t="s">
        <v>6850</v>
      </c>
      <c r="E1699" s="1" t="str">
        <f>"3750"</f>
        <v>3750</v>
      </c>
      <c r="F1699" s="1" t="s">
        <v>392</v>
      </c>
      <c r="G1699" s="1" t="s">
        <v>393</v>
      </c>
      <c r="H1699" s="1" t="s">
        <v>15</v>
      </c>
      <c r="I1699" s="3" t="str">
        <f>"1"</f>
        <v>1</v>
      </c>
      <c r="J1699" s="3" t="str">
        <f>"9685"</f>
        <v>9685</v>
      </c>
      <c r="K1699" s="2">
        <v>45852</v>
      </c>
      <c r="L1699" s="2">
        <v>45883</v>
      </c>
      <c r="M1699" s="1" t="s">
        <v>6849</v>
      </c>
      <c r="N1699" s="1" t="s">
        <v>6848</v>
      </c>
    </row>
    <row r="1700" spans="1:14" x14ac:dyDescent="0.35">
      <c r="A1700" s="1" t="s">
        <v>4321</v>
      </c>
      <c r="B1700" s="3" t="s">
        <v>4087</v>
      </c>
      <c r="C1700" s="1" t="s">
        <v>4093</v>
      </c>
      <c r="D1700" s="1" t="s">
        <v>6847</v>
      </c>
      <c r="E1700" s="1" t="str">
        <f>"5836"</f>
        <v>5836</v>
      </c>
      <c r="F1700" s="1" t="s">
        <v>5957</v>
      </c>
      <c r="G1700" s="1" t="s">
        <v>5956</v>
      </c>
      <c r="H1700" s="1" t="s">
        <v>15</v>
      </c>
      <c r="I1700" s="3" t="str">
        <f>"1"</f>
        <v>1</v>
      </c>
      <c r="J1700" s="3">
        <v>3799.99</v>
      </c>
      <c r="K1700" s="2">
        <v>45848</v>
      </c>
      <c r="L1700" s="2">
        <v>45883</v>
      </c>
      <c r="M1700" s="1" t="s">
        <v>6846</v>
      </c>
      <c r="N1700" s="1" t="s">
        <v>6845</v>
      </c>
    </row>
    <row r="1701" spans="1:14" x14ac:dyDescent="0.35">
      <c r="A1701" s="1" t="s">
        <v>4321</v>
      </c>
      <c r="B1701" s="3" t="s">
        <v>4253</v>
      </c>
      <c r="C1701" s="1" t="s">
        <v>4970</v>
      </c>
      <c r="D1701" s="1" t="s">
        <v>6844</v>
      </c>
      <c r="E1701" s="1" t="str">
        <f>"4220"</f>
        <v>4220</v>
      </c>
      <c r="F1701" s="1" t="str">
        <f>"016574027"</f>
        <v>016574027</v>
      </c>
      <c r="G1701" s="1" t="s">
        <v>158</v>
      </c>
      <c r="H1701" s="1" t="s">
        <v>15</v>
      </c>
      <c r="I1701" s="3" t="str">
        <f>"8"</f>
        <v>8</v>
      </c>
      <c r="J1701" s="3">
        <v>493.5</v>
      </c>
      <c r="K1701" s="2">
        <v>45845</v>
      </c>
      <c r="L1701" s="2">
        <v>45883</v>
      </c>
      <c r="M1701" s="1" t="s">
        <v>6843</v>
      </c>
      <c r="N1701" s="1" t="s">
        <v>6842</v>
      </c>
    </row>
    <row r="1702" spans="1:14" x14ac:dyDescent="0.35">
      <c r="A1702" s="1" t="s">
        <v>4321</v>
      </c>
      <c r="B1702" s="3" t="s">
        <v>601</v>
      </c>
      <c r="C1702" s="1" t="s">
        <v>5103</v>
      </c>
      <c r="D1702" s="1" t="s">
        <v>6841</v>
      </c>
      <c r="E1702" s="1" t="str">
        <f>"5855"</f>
        <v>5855</v>
      </c>
      <c r="F1702" s="1" t="str">
        <f>"015330555"</f>
        <v>015330555</v>
      </c>
      <c r="G1702" s="1" t="s">
        <v>2656</v>
      </c>
      <c r="H1702" s="1" t="s">
        <v>15</v>
      </c>
      <c r="I1702" s="3" t="str">
        <f>"22"</f>
        <v>22</v>
      </c>
      <c r="J1702" s="3" t="str">
        <f>"1800"</f>
        <v>1800</v>
      </c>
      <c r="K1702" s="2">
        <v>45844</v>
      </c>
      <c r="L1702" s="2">
        <v>45883</v>
      </c>
      <c r="M1702" s="1" t="s">
        <v>6840</v>
      </c>
      <c r="N1702" s="1" t="s">
        <v>6839</v>
      </c>
    </row>
    <row r="1703" spans="1:14" x14ac:dyDescent="0.35">
      <c r="A1703" s="1" t="s">
        <v>4321</v>
      </c>
      <c r="B1703" s="3" t="s">
        <v>93</v>
      </c>
      <c r="C1703" s="1" t="s">
        <v>109</v>
      </c>
      <c r="D1703" s="1" t="s">
        <v>6838</v>
      </c>
      <c r="E1703" s="1" t="str">
        <f>"5140"</f>
        <v>5140</v>
      </c>
      <c r="F1703" s="1" t="s">
        <v>161</v>
      </c>
      <c r="G1703" s="1" t="s">
        <v>162</v>
      </c>
      <c r="H1703" s="1" t="s">
        <v>15</v>
      </c>
      <c r="I1703" s="3" t="str">
        <f>"9"</f>
        <v>9</v>
      </c>
      <c r="J1703" s="3">
        <v>19446.830000000002</v>
      </c>
      <c r="K1703" s="2">
        <v>45843</v>
      </c>
      <c r="L1703" s="2">
        <v>45883</v>
      </c>
      <c r="M1703" s="1" t="s">
        <v>6837</v>
      </c>
      <c r="N1703" s="1" t="s">
        <v>6836</v>
      </c>
    </row>
    <row r="1704" spans="1:14" x14ac:dyDescent="0.35">
      <c r="A1704" s="1" t="s">
        <v>4321</v>
      </c>
      <c r="B1704" s="3" t="s">
        <v>93</v>
      </c>
      <c r="C1704" s="1" t="s">
        <v>319</v>
      </c>
      <c r="D1704" s="1" t="s">
        <v>6835</v>
      </c>
      <c r="E1704" s="1" t="str">
        <f>"2330"</f>
        <v>2330</v>
      </c>
      <c r="F1704" s="1" t="s">
        <v>70</v>
      </c>
      <c r="G1704" s="1" t="s">
        <v>71</v>
      </c>
      <c r="H1704" s="1" t="s">
        <v>15</v>
      </c>
      <c r="I1704" s="3" t="str">
        <f>"1"</f>
        <v>1</v>
      </c>
      <c r="J1704" s="3" t="str">
        <f>"3055"</f>
        <v>3055</v>
      </c>
      <c r="K1704" s="2">
        <v>45815</v>
      </c>
      <c r="L1704" s="2">
        <v>45883</v>
      </c>
      <c r="M1704" s="1" t="s">
        <v>6834</v>
      </c>
      <c r="N1704" s="1" t="s">
        <v>6833</v>
      </c>
    </row>
    <row r="1705" spans="1:14" x14ac:dyDescent="0.35">
      <c r="A1705" s="1" t="s">
        <v>4321</v>
      </c>
      <c r="B1705" s="3" t="s">
        <v>1699</v>
      </c>
      <c r="C1705" s="1" t="s">
        <v>1791</v>
      </c>
      <c r="D1705" s="1" t="s">
        <v>6832</v>
      </c>
      <c r="E1705" s="1" t="str">
        <f>"2340"</f>
        <v>2340</v>
      </c>
      <c r="F1705" s="1" t="s">
        <v>647</v>
      </c>
      <c r="G1705" s="1" t="s">
        <v>648</v>
      </c>
      <c r="H1705" s="1" t="s">
        <v>15</v>
      </c>
      <c r="I1705" s="3" t="str">
        <f>"1"</f>
        <v>1</v>
      </c>
      <c r="J1705" s="3" t="str">
        <f>"2000"</f>
        <v>2000</v>
      </c>
      <c r="K1705" s="2">
        <v>45880</v>
      </c>
      <c r="L1705" s="2">
        <v>45882</v>
      </c>
      <c r="M1705" s="1" t="s">
        <v>6831</v>
      </c>
      <c r="N1705" s="1" t="s">
        <v>6830</v>
      </c>
    </row>
    <row r="1706" spans="1:14" x14ac:dyDescent="0.35">
      <c r="A1706" s="1" t="s">
        <v>4321</v>
      </c>
      <c r="B1706" s="3" t="s">
        <v>2494</v>
      </c>
      <c r="C1706" s="1" t="s">
        <v>2600</v>
      </c>
      <c r="D1706" s="1" t="s">
        <v>6829</v>
      </c>
      <c r="E1706" s="1" t="str">
        <f>"2340"</f>
        <v>2340</v>
      </c>
      <c r="F1706" s="1" t="s">
        <v>647</v>
      </c>
      <c r="G1706" s="1" t="s">
        <v>648</v>
      </c>
      <c r="H1706" s="1" t="s">
        <v>15</v>
      </c>
      <c r="I1706" s="3" t="str">
        <f>"1"</f>
        <v>1</v>
      </c>
      <c r="J1706" s="3" t="str">
        <f>"17784"</f>
        <v>17784</v>
      </c>
      <c r="K1706" s="2">
        <v>45880</v>
      </c>
      <c r="L1706" s="2">
        <v>45882</v>
      </c>
      <c r="M1706" s="1" t="s">
        <v>6826</v>
      </c>
      <c r="N1706" s="1" t="s">
        <v>6828</v>
      </c>
    </row>
    <row r="1707" spans="1:14" x14ac:dyDescent="0.35">
      <c r="A1707" s="1" t="s">
        <v>4321</v>
      </c>
      <c r="B1707" s="3" t="s">
        <v>2494</v>
      </c>
      <c r="C1707" s="1" t="s">
        <v>2600</v>
      </c>
      <c r="D1707" s="1" t="s">
        <v>6827</v>
      </c>
      <c r="E1707" s="1" t="str">
        <f>"2340"</f>
        <v>2340</v>
      </c>
      <c r="F1707" s="1" t="s">
        <v>647</v>
      </c>
      <c r="G1707" s="1" t="s">
        <v>648</v>
      </c>
      <c r="H1707" s="1" t="s">
        <v>15</v>
      </c>
      <c r="I1707" s="3" t="str">
        <f>"1"</f>
        <v>1</v>
      </c>
      <c r="J1707" s="3" t="str">
        <f>"17784"</f>
        <v>17784</v>
      </c>
      <c r="K1707" s="2">
        <v>45880</v>
      </c>
      <c r="L1707" s="2">
        <v>45882</v>
      </c>
      <c r="M1707" s="1" t="s">
        <v>6826</v>
      </c>
      <c r="N1707" s="1" t="s">
        <v>6825</v>
      </c>
    </row>
    <row r="1708" spans="1:14" x14ac:dyDescent="0.35">
      <c r="A1708" s="1" t="s">
        <v>4321</v>
      </c>
      <c r="B1708" s="3" t="s">
        <v>2638</v>
      </c>
      <c r="C1708" s="1" t="s">
        <v>2662</v>
      </c>
      <c r="D1708" s="1" t="s">
        <v>6824</v>
      </c>
      <c r="E1708" s="1" t="str">
        <f>"2340"</f>
        <v>2340</v>
      </c>
      <c r="F1708" s="1" t="s">
        <v>647</v>
      </c>
      <c r="G1708" s="1" t="s">
        <v>648</v>
      </c>
      <c r="H1708" s="1" t="s">
        <v>15</v>
      </c>
      <c r="I1708" s="3" t="str">
        <f>"2"</f>
        <v>2</v>
      </c>
      <c r="J1708" s="3" t="str">
        <f>"17784"</f>
        <v>17784</v>
      </c>
      <c r="K1708" s="2">
        <v>45879</v>
      </c>
      <c r="L1708" s="2">
        <v>45882</v>
      </c>
      <c r="M1708" s="1" t="s">
        <v>6736</v>
      </c>
      <c r="N1708" s="1" t="s">
        <v>6823</v>
      </c>
    </row>
    <row r="1709" spans="1:14" x14ac:dyDescent="0.35">
      <c r="A1709" s="1" t="s">
        <v>4321</v>
      </c>
      <c r="B1709" s="3" t="s">
        <v>2638</v>
      </c>
      <c r="C1709" s="1" t="s">
        <v>2662</v>
      </c>
      <c r="D1709" s="1" t="s">
        <v>6822</v>
      </c>
      <c r="E1709" s="1" t="str">
        <f>"2340"</f>
        <v>2340</v>
      </c>
      <c r="F1709" s="1" t="s">
        <v>647</v>
      </c>
      <c r="G1709" s="1" t="s">
        <v>648</v>
      </c>
      <c r="H1709" s="1" t="s">
        <v>15</v>
      </c>
      <c r="I1709" s="3" t="str">
        <f>"2"</f>
        <v>2</v>
      </c>
      <c r="J1709" s="3" t="str">
        <f>"17784"</f>
        <v>17784</v>
      </c>
      <c r="K1709" s="2">
        <v>45879</v>
      </c>
      <c r="L1709" s="2">
        <v>45882</v>
      </c>
      <c r="M1709" s="1" t="s">
        <v>6736</v>
      </c>
      <c r="N1709" s="1" t="s">
        <v>6821</v>
      </c>
    </row>
    <row r="1710" spans="1:14" x14ac:dyDescent="0.35">
      <c r="A1710" s="1" t="s">
        <v>4321</v>
      </c>
      <c r="B1710" s="3" t="s">
        <v>1699</v>
      </c>
      <c r="C1710" s="1" t="s">
        <v>1795</v>
      </c>
      <c r="D1710" s="1" t="s">
        <v>6820</v>
      </c>
      <c r="E1710" s="1" t="str">
        <f>"2340"</f>
        <v>2340</v>
      </c>
      <c r="F1710" s="1" t="s">
        <v>647</v>
      </c>
      <c r="G1710" s="1" t="s">
        <v>648</v>
      </c>
      <c r="H1710" s="1" t="s">
        <v>15</v>
      </c>
      <c r="I1710" s="3" t="str">
        <f>"1"</f>
        <v>1</v>
      </c>
      <c r="J1710" s="3">
        <v>23418.93</v>
      </c>
      <c r="K1710" s="2">
        <v>45878</v>
      </c>
      <c r="L1710" s="2">
        <v>45882</v>
      </c>
      <c r="M1710" s="1" t="s">
        <v>6819</v>
      </c>
      <c r="N1710" s="1" t="s">
        <v>6818</v>
      </c>
    </row>
    <row r="1711" spans="1:14" x14ac:dyDescent="0.35">
      <c r="A1711" s="1" t="s">
        <v>4321</v>
      </c>
      <c r="B1711" s="3" t="s">
        <v>2494</v>
      </c>
      <c r="C1711" s="1" t="s">
        <v>2584</v>
      </c>
      <c r="D1711" s="1" t="s">
        <v>6817</v>
      </c>
      <c r="E1711" s="1" t="str">
        <f>"2340"</f>
        <v>2340</v>
      </c>
      <c r="F1711" s="1" t="s">
        <v>647</v>
      </c>
      <c r="G1711" s="1" t="s">
        <v>648</v>
      </c>
      <c r="H1711" s="1" t="s">
        <v>15</v>
      </c>
      <c r="I1711" s="3" t="str">
        <f>"3"</f>
        <v>3</v>
      </c>
      <c r="J1711" s="3">
        <v>23418.93</v>
      </c>
      <c r="K1711" s="2">
        <v>45878</v>
      </c>
      <c r="L1711" s="2">
        <v>45882</v>
      </c>
      <c r="M1711" s="1" t="s">
        <v>6816</v>
      </c>
      <c r="N1711" s="1" t="s">
        <v>6815</v>
      </c>
    </row>
    <row r="1712" spans="1:14" x14ac:dyDescent="0.35">
      <c r="A1712" s="1" t="s">
        <v>4321</v>
      </c>
      <c r="B1712" s="3" t="s">
        <v>3885</v>
      </c>
      <c r="C1712" s="1" t="s">
        <v>4022</v>
      </c>
      <c r="D1712" s="1" t="s">
        <v>6814</v>
      </c>
      <c r="E1712" s="1" t="str">
        <f>"2340"</f>
        <v>2340</v>
      </c>
      <c r="F1712" s="1" t="s">
        <v>647</v>
      </c>
      <c r="G1712" s="1" t="s">
        <v>648</v>
      </c>
      <c r="H1712" s="1" t="s">
        <v>15</v>
      </c>
      <c r="I1712" s="3" t="str">
        <f>"1"</f>
        <v>1</v>
      </c>
      <c r="J1712" s="3">
        <v>23418.93</v>
      </c>
      <c r="K1712" s="2">
        <v>45878</v>
      </c>
      <c r="L1712" s="2">
        <v>45882</v>
      </c>
      <c r="M1712" s="1" t="s">
        <v>6809</v>
      </c>
      <c r="N1712" s="1" t="s">
        <v>6813</v>
      </c>
    </row>
    <row r="1713" spans="1:14" x14ac:dyDescent="0.35">
      <c r="A1713" s="1" t="s">
        <v>4321</v>
      </c>
      <c r="B1713" s="3" t="s">
        <v>3885</v>
      </c>
      <c r="C1713" s="1" t="s">
        <v>4022</v>
      </c>
      <c r="D1713" s="1" t="s">
        <v>6812</v>
      </c>
      <c r="E1713" s="1" t="str">
        <f>"2340"</f>
        <v>2340</v>
      </c>
      <c r="F1713" s="1" t="s">
        <v>647</v>
      </c>
      <c r="G1713" s="1" t="s">
        <v>648</v>
      </c>
      <c r="H1713" s="1" t="s">
        <v>15</v>
      </c>
      <c r="I1713" s="3" t="str">
        <f>"1"</f>
        <v>1</v>
      </c>
      <c r="J1713" s="3">
        <v>23418.93</v>
      </c>
      <c r="K1713" s="2">
        <v>45878</v>
      </c>
      <c r="L1713" s="2">
        <v>45882</v>
      </c>
      <c r="M1713" s="1" t="s">
        <v>6809</v>
      </c>
      <c r="N1713" s="1" t="s">
        <v>6811</v>
      </c>
    </row>
    <row r="1714" spans="1:14" x14ac:dyDescent="0.35">
      <c r="A1714" s="1" t="s">
        <v>4321</v>
      </c>
      <c r="B1714" s="3" t="s">
        <v>3885</v>
      </c>
      <c r="C1714" s="1" t="s">
        <v>4022</v>
      </c>
      <c r="D1714" s="1" t="s">
        <v>6810</v>
      </c>
      <c r="E1714" s="1" t="str">
        <f>"2340"</f>
        <v>2340</v>
      </c>
      <c r="F1714" s="1" t="s">
        <v>647</v>
      </c>
      <c r="G1714" s="1" t="s">
        <v>648</v>
      </c>
      <c r="H1714" s="1" t="s">
        <v>15</v>
      </c>
      <c r="I1714" s="3" t="str">
        <f>"1"</f>
        <v>1</v>
      </c>
      <c r="J1714" s="3">
        <v>23418.93</v>
      </c>
      <c r="K1714" s="2">
        <v>45878</v>
      </c>
      <c r="L1714" s="2">
        <v>45882</v>
      </c>
      <c r="M1714" s="1" t="s">
        <v>6809</v>
      </c>
      <c r="N1714" s="1" t="s">
        <v>6808</v>
      </c>
    </row>
    <row r="1715" spans="1:14" x14ac:dyDescent="0.35">
      <c r="A1715" s="1" t="s">
        <v>4321</v>
      </c>
      <c r="B1715" s="3" t="s">
        <v>4087</v>
      </c>
      <c r="C1715" s="1" t="s">
        <v>4143</v>
      </c>
      <c r="D1715" s="1" t="s">
        <v>6807</v>
      </c>
      <c r="E1715" s="1" t="str">
        <f>"7520"</f>
        <v>7520</v>
      </c>
      <c r="F1715" s="1" t="str">
        <f>"013656126"</f>
        <v>013656126</v>
      </c>
      <c r="G1715" s="1" t="s">
        <v>5966</v>
      </c>
      <c r="H1715" s="1" t="s">
        <v>19</v>
      </c>
      <c r="I1715" s="3" t="str">
        <f>"4"</f>
        <v>4</v>
      </c>
      <c r="J1715" s="3">
        <v>27.89</v>
      </c>
      <c r="K1715" s="2">
        <v>45874</v>
      </c>
      <c r="L1715" s="2">
        <v>45882</v>
      </c>
      <c r="M1715" s="1" t="s">
        <v>6806</v>
      </c>
      <c r="N1715" s="1" t="s">
        <v>6805</v>
      </c>
    </row>
    <row r="1716" spans="1:14" x14ac:dyDescent="0.35">
      <c r="A1716" s="1" t="s">
        <v>4321</v>
      </c>
      <c r="B1716" s="3" t="s">
        <v>4087</v>
      </c>
      <c r="C1716" s="1" t="s">
        <v>4121</v>
      </c>
      <c r="D1716" s="1" t="s">
        <v>6804</v>
      </c>
      <c r="E1716" s="1" t="str">
        <f>"5836"</f>
        <v>5836</v>
      </c>
      <c r="F1716" s="1" t="s">
        <v>6803</v>
      </c>
      <c r="G1716" s="1" t="s">
        <v>6802</v>
      </c>
      <c r="H1716" s="1" t="s">
        <v>15</v>
      </c>
      <c r="I1716" s="3" t="str">
        <f>"1"</f>
        <v>1</v>
      </c>
      <c r="J1716" s="3">
        <v>2499.9899999999998</v>
      </c>
      <c r="K1716" s="2">
        <v>45868</v>
      </c>
      <c r="L1716" s="2">
        <v>45882</v>
      </c>
      <c r="M1716" s="1" t="s">
        <v>6801</v>
      </c>
      <c r="N1716" s="1" t="s">
        <v>6800</v>
      </c>
    </row>
    <row r="1717" spans="1:14" x14ac:dyDescent="0.35">
      <c r="A1717" s="1" t="s">
        <v>4321</v>
      </c>
      <c r="B1717" s="3" t="s">
        <v>1317</v>
      </c>
      <c r="C1717" s="1" t="s">
        <v>1371</v>
      </c>
      <c r="D1717" s="1" t="s">
        <v>6799</v>
      </c>
      <c r="E1717" s="1" t="str">
        <f>"7010"</f>
        <v>7010</v>
      </c>
      <c r="F1717" s="1" t="str">
        <f>"016167730"</f>
        <v>016167730</v>
      </c>
      <c r="G1717" s="1" t="s">
        <v>2255</v>
      </c>
      <c r="H1717" s="1" t="s">
        <v>15</v>
      </c>
      <c r="I1717" s="3" t="str">
        <f>"5"</f>
        <v>5</v>
      </c>
      <c r="J1717" s="3">
        <v>5360.03</v>
      </c>
      <c r="K1717" s="2">
        <v>45868</v>
      </c>
      <c r="L1717" s="2">
        <v>45882</v>
      </c>
      <c r="M1717" s="1" t="s">
        <v>6798</v>
      </c>
      <c r="N1717" s="1" t="s">
        <v>6797</v>
      </c>
    </row>
    <row r="1718" spans="1:14" x14ac:dyDescent="0.35">
      <c r="A1718" s="1" t="s">
        <v>4321</v>
      </c>
      <c r="B1718" s="3" t="s">
        <v>3183</v>
      </c>
      <c r="C1718" s="1" t="s">
        <v>3435</v>
      </c>
      <c r="D1718" s="1" t="s">
        <v>6796</v>
      </c>
      <c r="E1718" s="1" t="str">
        <f>"2320"</f>
        <v>2320</v>
      </c>
      <c r="F1718" s="1" t="str">
        <f>"013477645"</f>
        <v>013477645</v>
      </c>
      <c r="G1718" s="1" t="s">
        <v>5445</v>
      </c>
      <c r="H1718" s="1" t="s">
        <v>15</v>
      </c>
      <c r="I1718" s="3" t="str">
        <f>"1"</f>
        <v>1</v>
      </c>
      <c r="J1718" s="3" t="str">
        <f>"350000"</f>
        <v>350000</v>
      </c>
      <c r="K1718" s="2">
        <v>45867</v>
      </c>
      <c r="L1718" s="2">
        <v>45882</v>
      </c>
      <c r="M1718" s="1" t="s">
        <v>6795</v>
      </c>
      <c r="N1718" s="1" t="s">
        <v>6794</v>
      </c>
    </row>
    <row r="1719" spans="1:14" x14ac:dyDescent="0.35">
      <c r="A1719" s="1" t="s">
        <v>4321</v>
      </c>
      <c r="B1719" s="3" t="s">
        <v>4087</v>
      </c>
      <c r="C1719" s="1" t="s">
        <v>4121</v>
      </c>
      <c r="D1719" s="1" t="s">
        <v>6793</v>
      </c>
      <c r="E1719" s="1" t="str">
        <f>"2340"</f>
        <v>2340</v>
      </c>
      <c r="F1719" s="1" t="s">
        <v>694</v>
      </c>
      <c r="G1719" s="1" t="s">
        <v>695</v>
      </c>
      <c r="H1719" s="1" t="s">
        <v>15</v>
      </c>
      <c r="I1719" s="3" t="str">
        <f>"1"</f>
        <v>1</v>
      </c>
      <c r="J1719" s="3" t="str">
        <f>"12564"</f>
        <v>12564</v>
      </c>
      <c r="K1719" s="2">
        <v>45866</v>
      </c>
      <c r="L1719" s="2">
        <v>45882</v>
      </c>
      <c r="M1719" s="1" t="s">
        <v>6792</v>
      </c>
      <c r="N1719" s="1" t="s">
        <v>6791</v>
      </c>
    </row>
    <row r="1720" spans="1:14" x14ac:dyDescent="0.35">
      <c r="A1720" s="1" t="s">
        <v>4321</v>
      </c>
      <c r="B1720" s="3" t="s">
        <v>3183</v>
      </c>
      <c r="C1720" s="1" t="s">
        <v>3357</v>
      </c>
      <c r="D1720" s="1" t="s">
        <v>6790</v>
      </c>
      <c r="E1720" s="1" t="str">
        <f>"2330"</f>
        <v>2330</v>
      </c>
      <c r="F1720" s="1" t="s">
        <v>70</v>
      </c>
      <c r="G1720" s="1" t="s">
        <v>71</v>
      </c>
      <c r="H1720" s="1" t="s">
        <v>15</v>
      </c>
      <c r="I1720" s="3" t="str">
        <f>"1"</f>
        <v>1</v>
      </c>
      <c r="J1720" s="3" t="str">
        <f>"54300"</f>
        <v>54300</v>
      </c>
      <c r="K1720" s="2">
        <v>45864</v>
      </c>
      <c r="L1720" s="2">
        <v>45882</v>
      </c>
      <c r="M1720" s="1" t="s">
        <v>6789</v>
      </c>
      <c r="N1720" s="1" t="s">
        <v>6788</v>
      </c>
    </row>
    <row r="1721" spans="1:14" x14ac:dyDescent="0.35">
      <c r="A1721" s="1" t="s">
        <v>4321</v>
      </c>
      <c r="B1721" s="3" t="s">
        <v>3183</v>
      </c>
      <c r="C1721" s="1" t="s">
        <v>3357</v>
      </c>
      <c r="D1721" s="1" t="s">
        <v>6787</v>
      </c>
      <c r="E1721" s="1" t="str">
        <f>"5440"</f>
        <v>5440</v>
      </c>
      <c r="F1721" s="1" t="s">
        <v>6786</v>
      </c>
      <c r="G1721" s="1" t="s">
        <v>6785</v>
      </c>
      <c r="H1721" s="1" t="s">
        <v>15</v>
      </c>
      <c r="I1721" s="3" t="str">
        <f>"1"</f>
        <v>1</v>
      </c>
      <c r="J1721" s="3" t="str">
        <f>"50000"</f>
        <v>50000</v>
      </c>
      <c r="K1721" s="2">
        <v>45858</v>
      </c>
      <c r="L1721" s="2">
        <v>45882</v>
      </c>
      <c r="M1721" s="1" t="s">
        <v>6784</v>
      </c>
      <c r="N1721" s="1" t="s">
        <v>6783</v>
      </c>
    </row>
    <row r="1722" spans="1:14" x14ac:dyDescent="0.35">
      <c r="A1722" s="1" t="s">
        <v>4321</v>
      </c>
      <c r="B1722" s="3" t="s">
        <v>93</v>
      </c>
      <c r="C1722" s="1" t="s">
        <v>450</v>
      </c>
      <c r="D1722" s="1" t="s">
        <v>6782</v>
      </c>
      <c r="E1722" s="1" t="str">
        <f>"2010"</f>
        <v>2010</v>
      </c>
      <c r="F1722" s="1" t="s">
        <v>571</v>
      </c>
      <c r="G1722" s="1" t="s">
        <v>572</v>
      </c>
      <c r="H1722" s="1" t="s">
        <v>15</v>
      </c>
      <c r="I1722" s="3" t="str">
        <f>"1"</f>
        <v>1</v>
      </c>
      <c r="J1722" s="3" t="str">
        <f>"3000"</f>
        <v>3000</v>
      </c>
      <c r="K1722" s="2">
        <v>45841</v>
      </c>
      <c r="L1722" s="2">
        <v>45882</v>
      </c>
      <c r="M1722" s="1" t="s">
        <v>6779</v>
      </c>
      <c r="N1722" s="1" t="s">
        <v>6781</v>
      </c>
    </row>
    <row r="1723" spans="1:14" x14ac:dyDescent="0.35">
      <c r="A1723" s="1" t="s">
        <v>4321</v>
      </c>
      <c r="B1723" s="3" t="s">
        <v>93</v>
      </c>
      <c r="C1723" s="1" t="s">
        <v>450</v>
      </c>
      <c r="D1723" s="1" t="s">
        <v>6780</v>
      </c>
      <c r="E1723" s="1" t="str">
        <f>"2010"</f>
        <v>2010</v>
      </c>
      <c r="F1723" s="1" t="s">
        <v>571</v>
      </c>
      <c r="G1723" s="1" t="s">
        <v>572</v>
      </c>
      <c r="H1723" s="1" t="s">
        <v>15</v>
      </c>
      <c r="I1723" s="3" t="str">
        <f>"1"</f>
        <v>1</v>
      </c>
      <c r="J1723" s="3" t="str">
        <f>"3000"</f>
        <v>3000</v>
      </c>
      <c r="K1723" s="2">
        <v>45841</v>
      </c>
      <c r="L1723" s="2">
        <v>45882</v>
      </c>
      <c r="M1723" s="1" t="s">
        <v>6779</v>
      </c>
      <c r="N1723" s="1" t="s">
        <v>6778</v>
      </c>
    </row>
    <row r="1724" spans="1:14" x14ac:dyDescent="0.35">
      <c r="A1724" s="1" t="s">
        <v>4321</v>
      </c>
      <c r="B1724" s="3" t="s">
        <v>3183</v>
      </c>
      <c r="C1724" s="1" t="s">
        <v>3184</v>
      </c>
      <c r="D1724" s="1" t="s">
        <v>6777</v>
      </c>
      <c r="E1724" s="1" t="str">
        <f>"2320"</f>
        <v>2320</v>
      </c>
      <c r="F1724" s="1" t="str">
        <f>"015756182"</f>
        <v>015756182</v>
      </c>
      <c r="G1724" s="1" t="s">
        <v>1799</v>
      </c>
      <c r="H1724" s="1" t="s">
        <v>15</v>
      </c>
      <c r="I1724" s="3" t="str">
        <f>"1"</f>
        <v>1</v>
      </c>
      <c r="J1724" s="3" t="str">
        <f>"28200"</f>
        <v>28200</v>
      </c>
      <c r="K1724" s="2">
        <v>45808</v>
      </c>
      <c r="L1724" s="2">
        <v>45882</v>
      </c>
      <c r="M1724" s="1" t="s">
        <v>6776</v>
      </c>
      <c r="N1724" s="1" t="s">
        <v>6775</v>
      </c>
    </row>
    <row r="1725" spans="1:14" x14ac:dyDescent="0.35">
      <c r="A1725" s="1" t="s">
        <v>4321</v>
      </c>
      <c r="B1725" s="3" t="s">
        <v>2248</v>
      </c>
      <c r="C1725" s="1" t="s">
        <v>2332</v>
      </c>
      <c r="D1725" s="1" t="s">
        <v>6774</v>
      </c>
      <c r="E1725" s="1" t="str">
        <f>"5855"</f>
        <v>5855</v>
      </c>
      <c r="F1725" s="1" t="s">
        <v>285</v>
      </c>
      <c r="G1725" s="1" t="s">
        <v>286</v>
      </c>
      <c r="H1725" s="1" t="s">
        <v>15</v>
      </c>
      <c r="I1725" s="3" t="str">
        <f>"2"</f>
        <v>2</v>
      </c>
      <c r="J1725" s="3" t="str">
        <f>"15794"</f>
        <v>15794</v>
      </c>
      <c r="K1725" s="2">
        <v>45808</v>
      </c>
      <c r="L1725" s="2">
        <v>45882</v>
      </c>
      <c r="M1725" s="1" t="s">
        <v>6773</v>
      </c>
      <c r="N1725" s="1" t="s">
        <v>6772</v>
      </c>
    </row>
    <row r="1726" spans="1:14" x14ac:dyDescent="0.35">
      <c r="A1726" s="1" t="s">
        <v>4321</v>
      </c>
      <c r="B1726" s="3" t="s">
        <v>3885</v>
      </c>
      <c r="C1726" s="1" t="s">
        <v>3966</v>
      </c>
      <c r="D1726" s="1" t="s">
        <v>6771</v>
      </c>
      <c r="E1726" s="1" t="str">
        <f>"2320"</f>
        <v>2320</v>
      </c>
      <c r="F1726" s="1" t="s">
        <v>321</v>
      </c>
      <c r="G1726" s="1" t="s">
        <v>322</v>
      </c>
      <c r="H1726" s="1" t="s">
        <v>15</v>
      </c>
      <c r="I1726" s="3" t="str">
        <f>"1"</f>
        <v>1</v>
      </c>
      <c r="J1726" s="3">
        <v>59624.34</v>
      </c>
      <c r="K1726" s="2">
        <v>45797</v>
      </c>
      <c r="L1726" s="2">
        <v>45882</v>
      </c>
      <c r="M1726" s="1" t="s">
        <v>6770</v>
      </c>
      <c r="N1726" s="1" t="s">
        <v>6769</v>
      </c>
    </row>
    <row r="1727" spans="1:14" x14ac:dyDescent="0.35">
      <c r="A1727" s="1" t="s">
        <v>4321</v>
      </c>
      <c r="B1727" s="3" t="s">
        <v>1445</v>
      </c>
      <c r="C1727" s="1" t="s">
        <v>1459</v>
      </c>
      <c r="D1727" s="1" t="s">
        <v>6768</v>
      </c>
      <c r="E1727" s="1" t="str">
        <f>"1240"</f>
        <v>1240</v>
      </c>
      <c r="F1727" s="1" t="s">
        <v>1461</v>
      </c>
      <c r="G1727" s="1" t="s">
        <v>1462</v>
      </c>
      <c r="H1727" s="1" t="s">
        <v>15</v>
      </c>
      <c r="I1727" s="3" t="str">
        <f>"8"</f>
        <v>8</v>
      </c>
      <c r="J1727" s="3" t="str">
        <f>"1000"</f>
        <v>1000</v>
      </c>
      <c r="K1727" s="2">
        <v>45782</v>
      </c>
      <c r="L1727" s="2">
        <v>45882</v>
      </c>
      <c r="M1727" s="1" t="s">
        <v>6767</v>
      </c>
      <c r="N1727" s="1" t="s">
        <v>6766</v>
      </c>
    </row>
    <row r="1728" spans="1:14" x14ac:dyDescent="0.35">
      <c r="A1728" s="1" t="s">
        <v>4321</v>
      </c>
      <c r="B1728" s="3" t="s">
        <v>2145</v>
      </c>
      <c r="C1728" s="1" t="s">
        <v>2153</v>
      </c>
      <c r="D1728" s="1" t="s">
        <v>6765</v>
      </c>
      <c r="E1728" s="1" t="str">
        <f>"2320"</f>
        <v>2320</v>
      </c>
      <c r="F1728" s="1" t="s">
        <v>321</v>
      </c>
      <c r="G1728" s="1" t="s">
        <v>322</v>
      </c>
      <c r="H1728" s="1" t="s">
        <v>15</v>
      </c>
      <c r="I1728" s="3" t="str">
        <f>"1"</f>
        <v>1</v>
      </c>
      <c r="J1728" s="3" t="str">
        <f>"46158"</f>
        <v>46158</v>
      </c>
      <c r="K1728" s="2">
        <v>45762</v>
      </c>
      <c r="L1728" s="2">
        <v>45882</v>
      </c>
      <c r="M1728" s="1" t="s">
        <v>6764</v>
      </c>
      <c r="N1728" s="1" t="s">
        <v>6763</v>
      </c>
    </row>
    <row r="1729" spans="1:14" x14ac:dyDescent="0.35">
      <c r="A1729" s="1" t="s">
        <v>4321</v>
      </c>
      <c r="B1729" s="3" t="s">
        <v>2494</v>
      </c>
      <c r="C1729" s="1" t="s">
        <v>6762</v>
      </c>
      <c r="D1729" s="1" t="s">
        <v>6761</v>
      </c>
      <c r="E1729" s="1" t="str">
        <f>"3805"</f>
        <v>3805</v>
      </c>
      <c r="F1729" s="1" t="s">
        <v>2913</v>
      </c>
      <c r="G1729" s="1" t="s">
        <v>2914</v>
      </c>
      <c r="H1729" s="1" t="s">
        <v>15</v>
      </c>
      <c r="I1729" s="3" t="str">
        <f>"1"</f>
        <v>1</v>
      </c>
      <c r="J1729" s="3">
        <v>120563.93</v>
      </c>
      <c r="K1729" s="2">
        <v>45881</v>
      </c>
      <c r="L1729" s="2">
        <v>45881</v>
      </c>
      <c r="M1729" s="1" t="s">
        <v>6760</v>
      </c>
      <c r="N1729" s="1" t="s">
        <v>4343</v>
      </c>
    </row>
    <row r="1730" spans="1:14" x14ac:dyDescent="0.35">
      <c r="A1730" s="1" t="s">
        <v>4321</v>
      </c>
      <c r="B1730" s="3" t="s">
        <v>2248</v>
      </c>
      <c r="C1730" s="1" t="s">
        <v>6759</v>
      </c>
      <c r="D1730" s="1" t="s">
        <v>6758</v>
      </c>
      <c r="E1730" s="1" t="str">
        <f>"4240"</f>
        <v>4240</v>
      </c>
      <c r="F1730" s="1" t="str">
        <f>"016772176"</f>
        <v>016772176</v>
      </c>
      <c r="G1730" s="1" t="s">
        <v>496</v>
      </c>
      <c r="H1730" s="1" t="s">
        <v>15</v>
      </c>
      <c r="I1730" s="3" t="str">
        <f>"1"</f>
        <v>1</v>
      </c>
      <c r="J1730" s="3">
        <v>99895.42</v>
      </c>
      <c r="K1730" s="2">
        <v>45880</v>
      </c>
      <c r="L1730" s="2">
        <v>45881</v>
      </c>
      <c r="M1730" s="1" t="s">
        <v>6757</v>
      </c>
      <c r="N1730" s="1" t="s">
        <v>6756</v>
      </c>
    </row>
    <row r="1731" spans="1:14" x14ac:dyDescent="0.35">
      <c r="A1731" s="1" t="s">
        <v>4321</v>
      </c>
      <c r="B1731" s="3" t="s">
        <v>2248</v>
      </c>
      <c r="C1731" s="1" t="s">
        <v>6759</v>
      </c>
      <c r="D1731" s="1" t="s">
        <v>6758</v>
      </c>
      <c r="E1731" s="1" t="str">
        <f>"4240"</f>
        <v>4240</v>
      </c>
      <c r="F1731" s="1" t="str">
        <f>"016772176"</f>
        <v>016772176</v>
      </c>
      <c r="G1731" s="1" t="s">
        <v>496</v>
      </c>
      <c r="H1731" s="1" t="s">
        <v>15</v>
      </c>
      <c r="I1731" s="3" t="str">
        <f>"1"</f>
        <v>1</v>
      </c>
      <c r="J1731" s="3">
        <v>99895.42</v>
      </c>
      <c r="K1731" s="2">
        <v>45880</v>
      </c>
      <c r="L1731" s="2">
        <v>45881</v>
      </c>
      <c r="M1731" s="1" t="s">
        <v>6757</v>
      </c>
      <c r="N1731" s="1" t="s">
        <v>6756</v>
      </c>
    </row>
    <row r="1732" spans="1:14" x14ac:dyDescent="0.35">
      <c r="A1732" s="1" t="s">
        <v>4321</v>
      </c>
      <c r="B1732" s="3" t="s">
        <v>806</v>
      </c>
      <c r="C1732" s="1" t="s">
        <v>866</v>
      </c>
      <c r="D1732" s="1" t="s">
        <v>6755</v>
      </c>
      <c r="E1732" s="1" t="str">
        <f>"8465"</f>
        <v>8465</v>
      </c>
      <c r="F1732" s="1" t="str">
        <f>"016693560"</f>
        <v>016693560</v>
      </c>
      <c r="G1732" s="1" t="s">
        <v>2124</v>
      </c>
      <c r="H1732" s="1" t="s">
        <v>19</v>
      </c>
      <c r="I1732" s="3" t="str">
        <f>"1"</f>
        <v>1</v>
      </c>
      <c r="J1732" s="3">
        <v>702.22</v>
      </c>
      <c r="K1732" s="2">
        <v>45880</v>
      </c>
      <c r="L1732" s="2">
        <v>45881</v>
      </c>
      <c r="M1732" s="1" t="s">
        <v>6751</v>
      </c>
      <c r="N1732" s="1" t="s">
        <v>4343</v>
      </c>
    </row>
    <row r="1733" spans="1:14" x14ac:dyDescent="0.35">
      <c r="A1733" s="1" t="s">
        <v>4321</v>
      </c>
      <c r="B1733" s="3" t="s">
        <v>806</v>
      </c>
      <c r="C1733" s="1" t="s">
        <v>866</v>
      </c>
      <c r="D1733" s="1" t="s">
        <v>6754</v>
      </c>
      <c r="E1733" s="1" t="str">
        <f>"8465"</f>
        <v>8465</v>
      </c>
      <c r="F1733" s="1" t="str">
        <f>"016227791"</f>
        <v>016227791</v>
      </c>
      <c r="G1733" s="1" t="s">
        <v>2124</v>
      </c>
      <c r="H1733" s="1" t="s">
        <v>19</v>
      </c>
      <c r="I1733" s="3" t="str">
        <f>"2"</f>
        <v>2</v>
      </c>
      <c r="J1733" s="3">
        <v>828.74</v>
      </c>
      <c r="K1733" s="2">
        <v>45880</v>
      </c>
      <c r="L1733" s="2">
        <v>45881</v>
      </c>
      <c r="M1733" s="1" t="s">
        <v>6751</v>
      </c>
      <c r="N1733" s="1" t="s">
        <v>4343</v>
      </c>
    </row>
    <row r="1734" spans="1:14" x14ac:dyDescent="0.35">
      <c r="A1734" s="1" t="s">
        <v>4321</v>
      </c>
      <c r="B1734" s="3" t="s">
        <v>806</v>
      </c>
      <c r="C1734" s="1" t="s">
        <v>866</v>
      </c>
      <c r="D1734" s="1" t="s">
        <v>6753</v>
      </c>
      <c r="E1734" s="1" t="str">
        <f>"8465"</f>
        <v>8465</v>
      </c>
      <c r="F1734" s="1" t="str">
        <f>"016227791"</f>
        <v>016227791</v>
      </c>
      <c r="G1734" s="1" t="s">
        <v>2124</v>
      </c>
      <c r="H1734" s="1" t="s">
        <v>19</v>
      </c>
      <c r="I1734" s="3" t="str">
        <f>"4"</f>
        <v>4</v>
      </c>
      <c r="J1734" s="3">
        <v>828.74</v>
      </c>
      <c r="K1734" s="2">
        <v>45880</v>
      </c>
      <c r="L1734" s="2">
        <v>45881</v>
      </c>
      <c r="M1734" s="1" t="s">
        <v>6751</v>
      </c>
      <c r="N1734" s="1" t="s">
        <v>4343</v>
      </c>
    </row>
    <row r="1735" spans="1:14" x14ac:dyDescent="0.35">
      <c r="A1735" s="1" t="s">
        <v>4321</v>
      </c>
      <c r="B1735" s="3" t="s">
        <v>806</v>
      </c>
      <c r="C1735" s="1" t="s">
        <v>866</v>
      </c>
      <c r="D1735" s="1" t="s">
        <v>6752</v>
      </c>
      <c r="E1735" s="1" t="str">
        <f>"8465"</f>
        <v>8465</v>
      </c>
      <c r="F1735" s="1" t="str">
        <f>"016227792"</f>
        <v>016227792</v>
      </c>
      <c r="G1735" s="1" t="s">
        <v>2124</v>
      </c>
      <c r="H1735" s="1" t="s">
        <v>19</v>
      </c>
      <c r="I1735" s="3" t="str">
        <f>"3"</f>
        <v>3</v>
      </c>
      <c r="J1735" s="3">
        <v>828.74</v>
      </c>
      <c r="K1735" s="2">
        <v>45880</v>
      </c>
      <c r="L1735" s="2">
        <v>45881</v>
      </c>
      <c r="M1735" s="1" t="s">
        <v>6751</v>
      </c>
      <c r="N1735" s="1" t="s">
        <v>4343</v>
      </c>
    </row>
    <row r="1736" spans="1:14" x14ac:dyDescent="0.35">
      <c r="A1736" s="1" t="s">
        <v>4321</v>
      </c>
      <c r="B1736" s="3" t="s">
        <v>3885</v>
      </c>
      <c r="C1736" s="1" t="s">
        <v>6750</v>
      </c>
      <c r="D1736" s="1" t="s">
        <v>6749</v>
      </c>
      <c r="E1736" s="1" t="str">
        <f>"5855"</f>
        <v>5855</v>
      </c>
      <c r="F1736" s="1" t="str">
        <f>"016303541"</f>
        <v>016303541</v>
      </c>
      <c r="G1736" s="1" t="s">
        <v>2117</v>
      </c>
      <c r="H1736" s="1" t="s">
        <v>15</v>
      </c>
      <c r="I1736" s="3" t="str">
        <f>"3"</f>
        <v>3</v>
      </c>
      <c r="J1736" s="3" t="str">
        <f>"114373"</f>
        <v>114373</v>
      </c>
      <c r="K1736" s="2">
        <v>45880</v>
      </c>
      <c r="L1736" s="2">
        <v>45881</v>
      </c>
      <c r="M1736" s="1" t="s">
        <v>6748</v>
      </c>
      <c r="N1736" s="1" t="s">
        <v>4387</v>
      </c>
    </row>
    <row r="1737" spans="1:14" x14ac:dyDescent="0.35">
      <c r="A1737" s="1" t="s">
        <v>4321</v>
      </c>
      <c r="B1737" s="3" t="s">
        <v>3105</v>
      </c>
      <c r="C1737" s="1" t="s">
        <v>3129</v>
      </c>
      <c r="D1737" s="1" t="s">
        <v>6747</v>
      </c>
      <c r="E1737" s="1" t="str">
        <f>"2340"</f>
        <v>2340</v>
      </c>
      <c r="F1737" s="1" t="s">
        <v>647</v>
      </c>
      <c r="G1737" s="1" t="s">
        <v>648</v>
      </c>
      <c r="H1737" s="1" t="s">
        <v>15</v>
      </c>
      <c r="I1737" s="3" t="str">
        <f>"2"</f>
        <v>2</v>
      </c>
      <c r="J1737" s="3" t="str">
        <f>"2000"</f>
        <v>2000</v>
      </c>
      <c r="K1737" s="2">
        <v>45880</v>
      </c>
      <c r="L1737" s="2">
        <v>45881</v>
      </c>
      <c r="M1737" s="1" t="s">
        <v>6746</v>
      </c>
      <c r="N1737" s="1" t="s">
        <v>4343</v>
      </c>
    </row>
    <row r="1738" spans="1:14" x14ac:dyDescent="0.35">
      <c r="A1738" s="1" t="s">
        <v>4321</v>
      </c>
      <c r="B1738" s="3" t="s">
        <v>691</v>
      </c>
      <c r="C1738" s="1" t="s">
        <v>6741</v>
      </c>
      <c r="D1738" s="1" t="s">
        <v>6745</v>
      </c>
      <c r="E1738" s="1" t="str">
        <f>"6210"</f>
        <v>6210</v>
      </c>
      <c r="F1738" s="1" t="s">
        <v>400</v>
      </c>
      <c r="G1738" s="1" t="s">
        <v>401</v>
      </c>
      <c r="H1738" s="1" t="s">
        <v>15</v>
      </c>
      <c r="I1738" s="3" t="str">
        <f>"1"</f>
        <v>1</v>
      </c>
      <c r="J1738" s="3" t="str">
        <f>"2000"</f>
        <v>2000</v>
      </c>
      <c r="K1738" s="2">
        <v>45880</v>
      </c>
      <c r="L1738" s="2">
        <v>45881</v>
      </c>
      <c r="M1738" s="1" t="s">
        <v>6739</v>
      </c>
      <c r="N1738" s="1" t="s">
        <v>6744</v>
      </c>
    </row>
    <row r="1739" spans="1:14" x14ac:dyDescent="0.35">
      <c r="A1739" s="1" t="s">
        <v>4321</v>
      </c>
      <c r="B1739" s="3" t="s">
        <v>691</v>
      </c>
      <c r="C1739" s="1" t="s">
        <v>6741</v>
      </c>
      <c r="D1739" s="1" t="s">
        <v>6743</v>
      </c>
      <c r="E1739" s="1" t="str">
        <f>"6210"</f>
        <v>6210</v>
      </c>
      <c r="F1739" s="1" t="s">
        <v>400</v>
      </c>
      <c r="G1739" s="1" t="s">
        <v>401</v>
      </c>
      <c r="H1739" s="1" t="s">
        <v>15</v>
      </c>
      <c r="I1739" s="3" t="str">
        <f>"1"</f>
        <v>1</v>
      </c>
      <c r="J1739" s="3" t="str">
        <f>"2000"</f>
        <v>2000</v>
      </c>
      <c r="K1739" s="2">
        <v>45880</v>
      </c>
      <c r="L1739" s="2">
        <v>45881</v>
      </c>
      <c r="M1739" s="1" t="s">
        <v>6739</v>
      </c>
      <c r="N1739" s="1" t="s">
        <v>6742</v>
      </c>
    </row>
    <row r="1740" spans="1:14" x14ac:dyDescent="0.35">
      <c r="A1740" s="1" t="s">
        <v>4321</v>
      </c>
      <c r="B1740" s="3" t="s">
        <v>691</v>
      </c>
      <c r="C1740" s="1" t="s">
        <v>6741</v>
      </c>
      <c r="D1740" s="1" t="s">
        <v>6740</v>
      </c>
      <c r="E1740" s="1" t="str">
        <f>"6210"</f>
        <v>6210</v>
      </c>
      <c r="F1740" s="1" t="s">
        <v>400</v>
      </c>
      <c r="G1740" s="1" t="s">
        <v>401</v>
      </c>
      <c r="H1740" s="1" t="s">
        <v>15</v>
      </c>
      <c r="I1740" s="3" t="str">
        <f>"1"</f>
        <v>1</v>
      </c>
      <c r="J1740" s="3" t="str">
        <f>"2000"</f>
        <v>2000</v>
      </c>
      <c r="K1740" s="2">
        <v>45880</v>
      </c>
      <c r="L1740" s="2">
        <v>45881</v>
      </c>
      <c r="M1740" s="1" t="s">
        <v>6739</v>
      </c>
      <c r="N1740" s="1" t="s">
        <v>6738</v>
      </c>
    </row>
    <row r="1741" spans="1:14" x14ac:dyDescent="0.35">
      <c r="A1741" s="1" t="s">
        <v>4321</v>
      </c>
      <c r="B1741" s="3" t="s">
        <v>2638</v>
      </c>
      <c r="C1741" s="1" t="s">
        <v>2662</v>
      </c>
      <c r="D1741" s="1" t="s">
        <v>6737</v>
      </c>
      <c r="E1741" s="1" t="str">
        <f>"2340"</f>
        <v>2340</v>
      </c>
      <c r="F1741" s="1" t="s">
        <v>647</v>
      </c>
      <c r="G1741" s="1" t="s">
        <v>648</v>
      </c>
      <c r="H1741" s="1" t="s">
        <v>15</v>
      </c>
      <c r="I1741" s="3" t="str">
        <f>"3"</f>
        <v>3</v>
      </c>
      <c r="J1741" s="3" t="str">
        <f>"17784"</f>
        <v>17784</v>
      </c>
      <c r="K1741" s="2">
        <v>45879</v>
      </c>
      <c r="L1741" s="2">
        <v>45881</v>
      </c>
      <c r="M1741" s="1" t="s">
        <v>6736</v>
      </c>
      <c r="N1741" s="1" t="s">
        <v>6735</v>
      </c>
    </row>
    <row r="1742" spans="1:14" x14ac:dyDescent="0.35">
      <c r="A1742" s="1" t="s">
        <v>4321</v>
      </c>
      <c r="B1742" s="3" t="s">
        <v>3513</v>
      </c>
      <c r="C1742" s="1" t="s">
        <v>3514</v>
      </c>
      <c r="D1742" s="1" t="s">
        <v>6734</v>
      </c>
      <c r="E1742" s="1" t="str">
        <f>"7830"</f>
        <v>7830</v>
      </c>
      <c r="F1742" s="1" t="s">
        <v>89</v>
      </c>
      <c r="G1742" s="1" t="s">
        <v>90</v>
      </c>
      <c r="H1742" s="1" t="s">
        <v>15</v>
      </c>
      <c r="I1742" s="3" t="str">
        <f>"1"</f>
        <v>1</v>
      </c>
      <c r="J1742" s="3">
        <v>1103.21</v>
      </c>
      <c r="K1742" s="2">
        <v>45878</v>
      </c>
      <c r="L1742" s="2">
        <v>45881</v>
      </c>
      <c r="M1742" s="1" t="s">
        <v>6733</v>
      </c>
      <c r="N1742" s="1" t="s">
        <v>6732</v>
      </c>
    </row>
    <row r="1743" spans="1:14" x14ac:dyDescent="0.35">
      <c r="A1743" s="1" t="s">
        <v>4321</v>
      </c>
      <c r="B1743" s="3" t="s">
        <v>3513</v>
      </c>
      <c r="C1743" s="1" t="s">
        <v>3514</v>
      </c>
      <c r="D1743" s="1" t="s">
        <v>6734</v>
      </c>
      <c r="E1743" s="1" t="str">
        <f>"7830"</f>
        <v>7830</v>
      </c>
      <c r="F1743" s="1" t="s">
        <v>89</v>
      </c>
      <c r="G1743" s="1" t="s">
        <v>90</v>
      </c>
      <c r="H1743" s="1" t="s">
        <v>15</v>
      </c>
      <c r="I1743" s="3" t="str">
        <f>"1"</f>
        <v>1</v>
      </c>
      <c r="J1743" s="3">
        <v>1103.21</v>
      </c>
      <c r="K1743" s="2">
        <v>45878</v>
      </c>
      <c r="L1743" s="2">
        <v>45881</v>
      </c>
      <c r="M1743" s="1" t="s">
        <v>6733</v>
      </c>
      <c r="N1743" s="1" t="s">
        <v>6732</v>
      </c>
    </row>
    <row r="1744" spans="1:14" x14ac:dyDescent="0.35">
      <c r="A1744" s="1" t="s">
        <v>4321</v>
      </c>
      <c r="B1744" s="3" t="s">
        <v>3513</v>
      </c>
      <c r="C1744" s="1" t="s">
        <v>3514</v>
      </c>
      <c r="D1744" s="1" t="s">
        <v>6731</v>
      </c>
      <c r="E1744" s="1" t="str">
        <f>"2340"</f>
        <v>2340</v>
      </c>
      <c r="F1744" s="1" t="s">
        <v>647</v>
      </c>
      <c r="G1744" s="1" t="s">
        <v>648</v>
      </c>
      <c r="H1744" s="1" t="s">
        <v>15</v>
      </c>
      <c r="I1744" s="3" t="str">
        <f>"2"</f>
        <v>2</v>
      </c>
      <c r="J1744" s="3">
        <v>23418.93</v>
      </c>
      <c r="K1744" s="2">
        <v>45878</v>
      </c>
      <c r="L1744" s="2">
        <v>45881</v>
      </c>
      <c r="M1744" s="1" t="s">
        <v>6728</v>
      </c>
      <c r="N1744" s="1" t="s">
        <v>6730</v>
      </c>
    </row>
    <row r="1745" spans="1:14" x14ac:dyDescent="0.35">
      <c r="A1745" s="1" t="s">
        <v>4321</v>
      </c>
      <c r="B1745" s="3" t="s">
        <v>3513</v>
      </c>
      <c r="C1745" s="1" t="s">
        <v>3514</v>
      </c>
      <c r="D1745" s="1" t="s">
        <v>6729</v>
      </c>
      <c r="E1745" s="1" t="str">
        <f>"2340"</f>
        <v>2340</v>
      </c>
      <c r="F1745" s="1" t="s">
        <v>647</v>
      </c>
      <c r="G1745" s="1" t="s">
        <v>648</v>
      </c>
      <c r="H1745" s="1" t="s">
        <v>15</v>
      </c>
      <c r="I1745" s="3" t="str">
        <f>"1"</f>
        <v>1</v>
      </c>
      <c r="J1745" s="3">
        <v>23418.93</v>
      </c>
      <c r="K1745" s="2">
        <v>45878</v>
      </c>
      <c r="L1745" s="2">
        <v>45881</v>
      </c>
      <c r="M1745" s="1" t="s">
        <v>6728</v>
      </c>
      <c r="N1745" s="1" t="s">
        <v>6727</v>
      </c>
    </row>
    <row r="1746" spans="1:14" x14ac:dyDescent="0.35">
      <c r="A1746" s="1" t="s">
        <v>4321</v>
      </c>
      <c r="B1746" s="3" t="s">
        <v>93</v>
      </c>
      <c r="C1746" s="1" t="s">
        <v>4416</v>
      </c>
      <c r="D1746" s="1" t="s">
        <v>6726</v>
      </c>
      <c r="E1746" s="1" t="str">
        <f>"2340"</f>
        <v>2340</v>
      </c>
      <c r="F1746" s="1" t="s">
        <v>647</v>
      </c>
      <c r="G1746" s="1" t="s">
        <v>648</v>
      </c>
      <c r="H1746" s="1" t="s">
        <v>15</v>
      </c>
      <c r="I1746" s="3" t="str">
        <f>"2"</f>
        <v>2</v>
      </c>
      <c r="J1746" s="3">
        <v>23418.93</v>
      </c>
      <c r="K1746" s="2">
        <v>45878</v>
      </c>
      <c r="L1746" s="2">
        <v>45881</v>
      </c>
      <c r="M1746" s="1" t="s">
        <v>6725</v>
      </c>
      <c r="N1746" s="1" t="s">
        <v>6724</v>
      </c>
    </row>
    <row r="1747" spans="1:14" x14ac:dyDescent="0.35">
      <c r="A1747" s="1" t="s">
        <v>4321</v>
      </c>
      <c r="B1747" s="3" t="s">
        <v>3183</v>
      </c>
      <c r="C1747" s="1" t="s">
        <v>3256</v>
      </c>
      <c r="D1747" s="1" t="s">
        <v>6723</v>
      </c>
      <c r="E1747" s="1" t="str">
        <f>"2340"</f>
        <v>2340</v>
      </c>
      <c r="F1747" s="1" t="s">
        <v>647</v>
      </c>
      <c r="G1747" s="1" t="s">
        <v>648</v>
      </c>
      <c r="H1747" s="1" t="s">
        <v>15</v>
      </c>
      <c r="I1747" s="3" t="str">
        <f>"2"</f>
        <v>2</v>
      </c>
      <c r="J1747" s="3">
        <v>23418.93</v>
      </c>
      <c r="K1747" s="2">
        <v>45878</v>
      </c>
      <c r="L1747" s="2">
        <v>45881</v>
      </c>
      <c r="M1747" s="1" t="s">
        <v>6722</v>
      </c>
      <c r="N1747" s="1" t="s">
        <v>6721</v>
      </c>
    </row>
    <row r="1748" spans="1:14" x14ac:dyDescent="0.35">
      <c r="A1748" s="1" t="s">
        <v>4321</v>
      </c>
      <c r="B1748" s="3" t="s">
        <v>3183</v>
      </c>
      <c r="C1748" s="1" t="s">
        <v>3339</v>
      </c>
      <c r="D1748" s="1" t="s">
        <v>6720</v>
      </c>
      <c r="E1748" s="1" t="str">
        <f>"2340"</f>
        <v>2340</v>
      </c>
      <c r="F1748" s="1" t="s">
        <v>647</v>
      </c>
      <c r="G1748" s="1" t="s">
        <v>648</v>
      </c>
      <c r="H1748" s="1" t="s">
        <v>15</v>
      </c>
      <c r="I1748" s="3" t="str">
        <f>"1"</f>
        <v>1</v>
      </c>
      <c r="J1748" s="3">
        <v>23418.93</v>
      </c>
      <c r="K1748" s="2">
        <v>45878</v>
      </c>
      <c r="L1748" s="2">
        <v>45881</v>
      </c>
      <c r="M1748" s="1" t="s">
        <v>6719</v>
      </c>
      <c r="N1748" s="1" t="s">
        <v>6718</v>
      </c>
    </row>
    <row r="1749" spans="1:14" x14ac:dyDescent="0.35">
      <c r="A1749" s="1" t="s">
        <v>4321</v>
      </c>
      <c r="B1749" s="3" t="s">
        <v>3183</v>
      </c>
      <c r="C1749" s="1" t="s">
        <v>3357</v>
      </c>
      <c r="D1749" s="1" t="s">
        <v>6717</v>
      </c>
      <c r="E1749" s="1" t="str">
        <f>"2340"</f>
        <v>2340</v>
      </c>
      <c r="F1749" s="1" t="s">
        <v>647</v>
      </c>
      <c r="G1749" s="1" t="s">
        <v>648</v>
      </c>
      <c r="H1749" s="1" t="s">
        <v>15</v>
      </c>
      <c r="I1749" s="3" t="str">
        <f>"2"</f>
        <v>2</v>
      </c>
      <c r="J1749" s="3">
        <v>23418.93</v>
      </c>
      <c r="K1749" s="2">
        <v>45878</v>
      </c>
      <c r="L1749" s="2">
        <v>45881</v>
      </c>
      <c r="M1749" s="1" t="s">
        <v>6716</v>
      </c>
      <c r="N1749" s="1" t="s">
        <v>6715</v>
      </c>
    </row>
    <row r="1750" spans="1:14" x14ac:dyDescent="0.35">
      <c r="A1750" s="1" t="s">
        <v>4321</v>
      </c>
      <c r="B1750" s="3" t="s">
        <v>3105</v>
      </c>
      <c r="C1750" s="1" t="s">
        <v>4877</v>
      </c>
      <c r="D1750" s="1" t="s">
        <v>6714</v>
      </c>
      <c r="E1750" s="1" t="str">
        <f>"2340"</f>
        <v>2340</v>
      </c>
      <c r="F1750" s="1" t="s">
        <v>647</v>
      </c>
      <c r="G1750" s="1" t="s">
        <v>648</v>
      </c>
      <c r="H1750" s="1" t="s">
        <v>15</v>
      </c>
      <c r="I1750" s="3" t="str">
        <f>"4"</f>
        <v>4</v>
      </c>
      <c r="J1750" s="3">
        <v>23418.93</v>
      </c>
      <c r="K1750" s="2">
        <v>45878</v>
      </c>
      <c r="L1750" s="2">
        <v>45881</v>
      </c>
      <c r="M1750" s="1" t="s">
        <v>6711</v>
      </c>
      <c r="N1750" s="1" t="s">
        <v>6713</v>
      </c>
    </row>
    <row r="1751" spans="1:14" x14ac:dyDescent="0.35">
      <c r="A1751" s="1" t="s">
        <v>4321</v>
      </c>
      <c r="B1751" s="3" t="s">
        <v>3105</v>
      </c>
      <c r="C1751" s="1" t="s">
        <v>4877</v>
      </c>
      <c r="D1751" s="1" t="s">
        <v>6712</v>
      </c>
      <c r="E1751" s="1" t="str">
        <f>"2340"</f>
        <v>2340</v>
      </c>
      <c r="F1751" s="1" t="s">
        <v>647</v>
      </c>
      <c r="G1751" s="1" t="s">
        <v>648</v>
      </c>
      <c r="H1751" s="1" t="s">
        <v>15</v>
      </c>
      <c r="I1751" s="3" t="str">
        <f>"3"</f>
        <v>3</v>
      </c>
      <c r="J1751" s="3">
        <v>23418.93</v>
      </c>
      <c r="K1751" s="2">
        <v>45878</v>
      </c>
      <c r="L1751" s="2">
        <v>45881</v>
      </c>
      <c r="M1751" s="1" t="s">
        <v>6711</v>
      </c>
      <c r="N1751" s="1" t="s">
        <v>6710</v>
      </c>
    </row>
    <row r="1752" spans="1:14" x14ac:dyDescent="0.35">
      <c r="A1752" s="1" t="s">
        <v>4321</v>
      </c>
      <c r="B1752" s="3" t="s">
        <v>2248</v>
      </c>
      <c r="C1752" s="1" t="s">
        <v>2375</v>
      </c>
      <c r="D1752" s="1" t="s">
        <v>6709</v>
      </c>
      <c r="E1752" s="1" t="str">
        <f>"2340"</f>
        <v>2340</v>
      </c>
      <c r="F1752" s="1" t="s">
        <v>647</v>
      </c>
      <c r="G1752" s="1" t="s">
        <v>648</v>
      </c>
      <c r="H1752" s="1" t="s">
        <v>15</v>
      </c>
      <c r="I1752" s="3" t="str">
        <f>"2"</f>
        <v>2</v>
      </c>
      <c r="J1752" s="3">
        <v>23418.93</v>
      </c>
      <c r="K1752" s="2">
        <v>45878</v>
      </c>
      <c r="L1752" s="2">
        <v>45881</v>
      </c>
      <c r="M1752" s="1" t="s">
        <v>6708</v>
      </c>
      <c r="N1752" s="1" t="s">
        <v>6707</v>
      </c>
    </row>
    <row r="1753" spans="1:14" x14ac:dyDescent="0.35">
      <c r="A1753" s="1" t="s">
        <v>4321</v>
      </c>
      <c r="B1753" s="3" t="s">
        <v>3183</v>
      </c>
      <c r="C1753" s="1" t="s">
        <v>3487</v>
      </c>
      <c r="D1753" s="1" t="s">
        <v>6706</v>
      </c>
      <c r="E1753" s="1" t="str">
        <f>"2340"</f>
        <v>2340</v>
      </c>
      <c r="F1753" s="1" t="s">
        <v>647</v>
      </c>
      <c r="G1753" s="1" t="s">
        <v>648</v>
      </c>
      <c r="H1753" s="1" t="s">
        <v>15</v>
      </c>
      <c r="I1753" s="3" t="str">
        <f>"3"</f>
        <v>3</v>
      </c>
      <c r="J1753" s="3">
        <v>23418.93</v>
      </c>
      <c r="K1753" s="2">
        <v>45878</v>
      </c>
      <c r="L1753" s="2">
        <v>45881</v>
      </c>
      <c r="M1753" s="1" t="s">
        <v>6705</v>
      </c>
      <c r="N1753" s="1" t="s">
        <v>6704</v>
      </c>
    </row>
    <row r="1754" spans="1:14" x14ac:dyDescent="0.35">
      <c r="A1754" s="1" t="s">
        <v>4321</v>
      </c>
      <c r="B1754" s="3" t="s">
        <v>93</v>
      </c>
      <c r="C1754" s="1" t="s">
        <v>450</v>
      </c>
      <c r="D1754" s="1" t="s">
        <v>6703</v>
      </c>
      <c r="E1754" s="1" t="str">
        <f>"2340"</f>
        <v>2340</v>
      </c>
      <c r="F1754" s="1" t="s">
        <v>647</v>
      </c>
      <c r="G1754" s="1" t="s">
        <v>648</v>
      </c>
      <c r="H1754" s="1" t="s">
        <v>15</v>
      </c>
      <c r="I1754" s="3" t="str">
        <f>"7"</f>
        <v>7</v>
      </c>
      <c r="J1754" s="3">
        <v>23418.93</v>
      </c>
      <c r="K1754" s="2">
        <v>45878</v>
      </c>
      <c r="L1754" s="2">
        <v>45881</v>
      </c>
      <c r="M1754" s="1" t="s">
        <v>6700</v>
      </c>
      <c r="N1754" s="1" t="s">
        <v>6702</v>
      </c>
    </row>
    <row r="1755" spans="1:14" x14ac:dyDescent="0.35">
      <c r="A1755" s="1" t="s">
        <v>4321</v>
      </c>
      <c r="B1755" s="3" t="s">
        <v>93</v>
      </c>
      <c r="C1755" s="1" t="s">
        <v>450</v>
      </c>
      <c r="D1755" s="1" t="s">
        <v>6701</v>
      </c>
      <c r="E1755" s="1" t="str">
        <f>"2340"</f>
        <v>2340</v>
      </c>
      <c r="F1755" s="1" t="s">
        <v>647</v>
      </c>
      <c r="G1755" s="1" t="s">
        <v>648</v>
      </c>
      <c r="H1755" s="1" t="s">
        <v>15</v>
      </c>
      <c r="I1755" s="3" t="str">
        <f>"5"</f>
        <v>5</v>
      </c>
      <c r="J1755" s="3">
        <v>23418.93</v>
      </c>
      <c r="K1755" s="2">
        <v>45878</v>
      </c>
      <c r="L1755" s="2">
        <v>45881</v>
      </c>
      <c r="M1755" s="1" t="s">
        <v>6700</v>
      </c>
      <c r="N1755" s="1" t="s">
        <v>6699</v>
      </c>
    </row>
    <row r="1756" spans="1:14" x14ac:dyDescent="0.35">
      <c r="A1756" s="1" t="s">
        <v>4321</v>
      </c>
      <c r="B1756" s="3" t="s">
        <v>4087</v>
      </c>
      <c r="C1756" s="1" t="s">
        <v>4143</v>
      </c>
      <c r="D1756" s="1" t="s">
        <v>6698</v>
      </c>
      <c r="E1756" s="1" t="str">
        <f>"7530"</f>
        <v>7530</v>
      </c>
      <c r="F1756" s="1" t="str">
        <f>"013723108"</f>
        <v>013723108</v>
      </c>
      <c r="G1756" s="1" t="s">
        <v>6697</v>
      </c>
      <c r="H1756" s="1" t="s">
        <v>4183</v>
      </c>
      <c r="I1756" s="3" t="str">
        <f>"1"</f>
        <v>1</v>
      </c>
      <c r="J1756" s="3">
        <v>25.4</v>
      </c>
      <c r="K1756" s="2">
        <v>45874</v>
      </c>
      <c r="L1756" s="2">
        <v>45881</v>
      </c>
      <c r="M1756" s="1" t="s">
        <v>6696</v>
      </c>
      <c r="N1756" s="1" t="s">
        <v>6695</v>
      </c>
    </row>
    <row r="1757" spans="1:14" x14ac:dyDescent="0.35">
      <c r="A1757" s="1" t="s">
        <v>4321</v>
      </c>
      <c r="B1757" s="3" t="s">
        <v>2145</v>
      </c>
      <c r="C1757" s="1" t="s">
        <v>2216</v>
      </c>
      <c r="D1757" s="1" t="s">
        <v>6694</v>
      </c>
      <c r="E1757" s="1" t="str">
        <f>"4240"</f>
        <v>4240</v>
      </c>
      <c r="F1757" s="1" t="str">
        <f>"015803054"</f>
        <v>015803054</v>
      </c>
      <c r="G1757" s="1" t="s">
        <v>2664</v>
      </c>
      <c r="H1757" s="1" t="s">
        <v>15</v>
      </c>
      <c r="I1757" s="3" t="str">
        <f>"6"</f>
        <v>6</v>
      </c>
      <c r="J1757" s="3">
        <v>382.4</v>
      </c>
      <c r="K1757" s="2">
        <v>45869</v>
      </c>
      <c r="L1757" s="2">
        <v>45881</v>
      </c>
      <c r="M1757" s="1" t="s">
        <v>6693</v>
      </c>
      <c r="N1757" s="1" t="s">
        <v>6692</v>
      </c>
    </row>
    <row r="1758" spans="1:14" x14ac:dyDescent="0.35">
      <c r="A1758" s="1" t="s">
        <v>4321</v>
      </c>
      <c r="B1758" s="3" t="s">
        <v>2987</v>
      </c>
      <c r="C1758" s="1" t="s">
        <v>3065</v>
      </c>
      <c r="D1758" s="1" t="s">
        <v>6691</v>
      </c>
      <c r="E1758" s="1" t="str">
        <f>"2340"</f>
        <v>2340</v>
      </c>
      <c r="F1758" s="1" t="s">
        <v>694</v>
      </c>
      <c r="G1758" s="1" t="s">
        <v>695</v>
      </c>
      <c r="H1758" s="1" t="s">
        <v>15</v>
      </c>
      <c r="I1758" s="3" t="str">
        <f>"1"</f>
        <v>1</v>
      </c>
      <c r="J1758" s="3" t="str">
        <f>"1000"</f>
        <v>1000</v>
      </c>
      <c r="K1758" s="2">
        <v>45864</v>
      </c>
      <c r="L1758" s="2">
        <v>45881</v>
      </c>
      <c r="M1758" s="1" t="s">
        <v>6690</v>
      </c>
      <c r="N1758" s="1" t="s">
        <v>6689</v>
      </c>
    </row>
    <row r="1759" spans="1:14" x14ac:dyDescent="0.35">
      <c r="A1759" s="1" t="s">
        <v>4321</v>
      </c>
      <c r="B1759" s="3" t="s">
        <v>93</v>
      </c>
      <c r="C1759" s="1" t="s">
        <v>319</v>
      </c>
      <c r="D1759" s="1" t="s">
        <v>6688</v>
      </c>
      <c r="E1759" s="1" t="str">
        <f>"3805"</f>
        <v>3805</v>
      </c>
      <c r="F1759" s="1" t="s">
        <v>2913</v>
      </c>
      <c r="G1759" s="1" t="s">
        <v>2914</v>
      </c>
      <c r="H1759" s="1" t="s">
        <v>15</v>
      </c>
      <c r="I1759" s="3" t="str">
        <f>"1"</f>
        <v>1</v>
      </c>
      <c r="J1759" s="3" t="str">
        <f>"30000"</f>
        <v>30000</v>
      </c>
      <c r="K1759" s="2">
        <v>45815</v>
      </c>
      <c r="L1759" s="2">
        <v>45881</v>
      </c>
      <c r="M1759" s="1" t="s">
        <v>6687</v>
      </c>
      <c r="N1759" s="1" t="s">
        <v>6686</v>
      </c>
    </row>
    <row r="1760" spans="1:14" x14ac:dyDescent="0.35">
      <c r="A1760" s="1" t="s">
        <v>4321</v>
      </c>
      <c r="B1760" s="3" t="s">
        <v>1857</v>
      </c>
      <c r="C1760" s="1" t="s">
        <v>1858</v>
      </c>
      <c r="D1760" s="1" t="s">
        <v>6685</v>
      </c>
      <c r="E1760" s="1" t="str">
        <f>"2340"</f>
        <v>2340</v>
      </c>
      <c r="F1760" s="1" t="s">
        <v>278</v>
      </c>
      <c r="G1760" s="1" t="s">
        <v>279</v>
      </c>
      <c r="H1760" s="1" t="s">
        <v>15</v>
      </c>
      <c r="I1760" s="3" t="str">
        <f>"1"</f>
        <v>1</v>
      </c>
      <c r="J1760" s="3">
        <v>9284.27</v>
      </c>
      <c r="K1760" s="2">
        <v>45801</v>
      </c>
      <c r="L1760" s="2">
        <v>45881</v>
      </c>
      <c r="M1760" s="1" t="s">
        <v>6682</v>
      </c>
      <c r="N1760" s="1" t="s">
        <v>6684</v>
      </c>
    </row>
    <row r="1761" spans="1:14" x14ac:dyDescent="0.35">
      <c r="A1761" s="1" t="s">
        <v>4321</v>
      </c>
      <c r="B1761" s="3" t="s">
        <v>1857</v>
      </c>
      <c r="C1761" s="1" t="s">
        <v>1858</v>
      </c>
      <c r="D1761" s="1" t="s">
        <v>6683</v>
      </c>
      <c r="E1761" s="1" t="str">
        <f>"2340"</f>
        <v>2340</v>
      </c>
      <c r="F1761" s="1" t="s">
        <v>278</v>
      </c>
      <c r="G1761" s="1" t="s">
        <v>279</v>
      </c>
      <c r="H1761" s="1" t="s">
        <v>15</v>
      </c>
      <c r="I1761" s="3" t="str">
        <f>"1"</f>
        <v>1</v>
      </c>
      <c r="J1761" s="3">
        <v>16937.47</v>
      </c>
      <c r="K1761" s="2">
        <v>45801</v>
      </c>
      <c r="L1761" s="2">
        <v>45881</v>
      </c>
      <c r="M1761" s="1" t="s">
        <v>6682</v>
      </c>
      <c r="N1761" s="1" t="s">
        <v>6681</v>
      </c>
    </row>
    <row r="1762" spans="1:14" x14ac:dyDescent="0.35">
      <c r="A1762" s="1" t="s">
        <v>4321</v>
      </c>
      <c r="B1762" s="3" t="s">
        <v>2248</v>
      </c>
      <c r="C1762" s="1" t="s">
        <v>5710</v>
      </c>
      <c r="D1762" s="1" t="s">
        <v>6680</v>
      </c>
      <c r="E1762" s="1" t="str">
        <f>"6515"</f>
        <v>6515</v>
      </c>
      <c r="F1762" s="1" t="s">
        <v>249</v>
      </c>
      <c r="G1762" s="1" t="s">
        <v>250</v>
      </c>
      <c r="H1762" s="1" t="s">
        <v>15</v>
      </c>
      <c r="I1762" s="3" t="str">
        <f>"14"</f>
        <v>14</v>
      </c>
      <c r="J1762" s="3" t="str">
        <f>"900"</f>
        <v>900</v>
      </c>
      <c r="K1762" s="2">
        <v>45775</v>
      </c>
      <c r="L1762" s="2">
        <v>45881</v>
      </c>
      <c r="M1762" s="1" t="s">
        <v>6679</v>
      </c>
      <c r="N1762" s="1" t="s">
        <v>6678</v>
      </c>
    </row>
    <row r="1763" spans="1:14" x14ac:dyDescent="0.35">
      <c r="A1763" s="1" t="s">
        <v>4321</v>
      </c>
      <c r="B1763" s="3" t="s">
        <v>4594</v>
      </c>
      <c r="C1763" s="1" t="s">
        <v>4593</v>
      </c>
      <c r="D1763" s="1" t="s">
        <v>6677</v>
      </c>
      <c r="E1763" s="1" t="str">
        <f>"1385"</f>
        <v>1385</v>
      </c>
      <c r="F1763" s="1" t="str">
        <f>"015900776"</f>
        <v>015900776</v>
      </c>
      <c r="G1763" s="1" t="s">
        <v>14</v>
      </c>
      <c r="H1763" s="1" t="s">
        <v>15</v>
      </c>
      <c r="I1763" s="3" t="str">
        <f>"1"</f>
        <v>1</v>
      </c>
      <c r="J1763" s="3" t="str">
        <f>"329943"</f>
        <v>329943</v>
      </c>
      <c r="K1763" s="2">
        <v>45763</v>
      </c>
      <c r="L1763" s="2">
        <v>45881</v>
      </c>
      <c r="M1763" s="1" t="s">
        <v>4591</v>
      </c>
      <c r="N1763" s="1" t="s">
        <v>6676</v>
      </c>
    </row>
    <row r="1764" spans="1:14" x14ac:dyDescent="0.35">
      <c r="A1764" s="1" t="s">
        <v>4321</v>
      </c>
      <c r="B1764" s="3" t="s">
        <v>2494</v>
      </c>
      <c r="C1764" s="1" t="s">
        <v>6675</v>
      </c>
      <c r="D1764" s="1" t="s">
        <v>6674</v>
      </c>
      <c r="E1764" s="1" t="str">
        <f>"2340"</f>
        <v>2340</v>
      </c>
      <c r="F1764" s="1" t="s">
        <v>647</v>
      </c>
      <c r="G1764" s="1" t="s">
        <v>648</v>
      </c>
      <c r="H1764" s="1" t="s">
        <v>15</v>
      </c>
      <c r="I1764" s="3" t="str">
        <f>"2"</f>
        <v>2</v>
      </c>
      <c r="J1764" s="3" t="str">
        <f>"17784"</f>
        <v>17784</v>
      </c>
      <c r="K1764" s="2">
        <v>45880</v>
      </c>
      <c r="L1764" s="2">
        <v>45880</v>
      </c>
      <c r="M1764" s="1" t="s">
        <v>6673</v>
      </c>
    </row>
    <row r="1765" spans="1:14" x14ac:dyDescent="0.35">
      <c r="A1765" s="1" t="s">
        <v>4321</v>
      </c>
      <c r="B1765" s="3" t="s">
        <v>2720</v>
      </c>
      <c r="C1765" s="1" t="s">
        <v>2897</v>
      </c>
      <c r="D1765" s="1" t="s">
        <v>6672</v>
      </c>
      <c r="E1765" s="1" t="str">
        <f>"7010"</f>
        <v>7010</v>
      </c>
      <c r="F1765" s="1" t="str">
        <f>"016167730"</f>
        <v>016167730</v>
      </c>
      <c r="G1765" s="1" t="s">
        <v>2255</v>
      </c>
      <c r="H1765" s="1" t="s">
        <v>15</v>
      </c>
      <c r="I1765" s="3" t="str">
        <f>"2"</f>
        <v>2</v>
      </c>
      <c r="J1765" s="3">
        <v>5360.03</v>
      </c>
      <c r="K1765" s="2">
        <v>45874</v>
      </c>
      <c r="L1765" s="2">
        <v>45880</v>
      </c>
      <c r="M1765" s="1" t="s">
        <v>6671</v>
      </c>
      <c r="N1765" s="1" t="s">
        <v>6670</v>
      </c>
    </row>
    <row r="1766" spans="1:14" x14ac:dyDescent="0.35">
      <c r="A1766" s="1" t="s">
        <v>4321</v>
      </c>
      <c r="B1766" s="3" t="s">
        <v>3183</v>
      </c>
      <c r="C1766" s="1" t="s">
        <v>3339</v>
      </c>
      <c r="D1766" s="1" t="s">
        <v>6669</v>
      </c>
      <c r="E1766" s="1" t="str">
        <f>"8145"</f>
        <v>8145</v>
      </c>
      <c r="F1766" s="1" t="str">
        <f>"015104442"</f>
        <v>015104442</v>
      </c>
      <c r="G1766" s="1" t="s">
        <v>1353</v>
      </c>
      <c r="H1766" s="1" t="s">
        <v>15</v>
      </c>
      <c r="I1766" s="3" t="str">
        <f>"2"</f>
        <v>2</v>
      </c>
      <c r="J1766" s="3">
        <v>18855.59</v>
      </c>
      <c r="K1766" s="2">
        <v>45873</v>
      </c>
      <c r="L1766" s="2">
        <v>45880</v>
      </c>
      <c r="M1766" s="1" t="s">
        <v>6668</v>
      </c>
      <c r="N1766" s="1" t="s">
        <v>6667</v>
      </c>
    </row>
    <row r="1767" spans="1:14" x14ac:dyDescent="0.35">
      <c r="A1767" s="1" t="s">
        <v>4321</v>
      </c>
      <c r="B1767" s="3" t="s">
        <v>3885</v>
      </c>
      <c r="C1767" s="1" t="s">
        <v>3891</v>
      </c>
      <c r="D1767" s="1" t="s">
        <v>6666</v>
      </c>
      <c r="E1767" s="1" t="str">
        <f>"6920"</f>
        <v>6920</v>
      </c>
      <c r="F1767" s="1" t="s">
        <v>2759</v>
      </c>
      <c r="G1767" s="1" t="s">
        <v>2760</v>
      </c>
      <c r="H1767" s="1" t="s">
        <v>15</v>
      </c>
      <c r="I1767" s="3" t="str">
        <f>"8"</f>
        <v>8</v>
      </c>
      <c r="J1767" s="3" t="str">
        <f>"50"</f>
        <v>50</v>
      </c>
      <c r="K1767" s="2">
        <v>45870</v>
      </c>
      <c r="L1767" s="2">
        <v>45880</v>
      </c>
      <c r="M1767" s="1" t="s">
        <v>6665</v>
      </c>
      <c r="N1767" s="1" t="s">
        <v>6664</v>
      </c>
    </row>
    <row r="1768" spans="1:14" x14ac:dyDescent="0.35">
      <c r="A1768" s="1" t="s">
        <v>4321</v>
      </c>
      <c r="B1768" s="3" t="s">
        <v>2000</v>
      </c>
      <c r="C1768" s="1" t="s">
        <v>2062</v>
      </c>
      <c r="D1768" s="1" t="s">
        <v>6663</v>
      </c>
      <c r="E1768" s="1" t="str">
        <f>"6920"</f>
        <v>6920</v>
      </c>
      <c r="F1768" s="1" t="s">
        <v>2759</v>
      </c>
      <c r="G1768" s="1" t="s">
        <v>2760</v>
      </c>
      <c r="H1768" s="1" t="s">
        <v>15</v>
      </c>
      <c r="I1768" s="3" t="str">
        <f>"8"</f>
        <v>8</v>
      </c>
      <c r="J1768" s="3" t="str">
        <f>"50"</f>
        <v>50</v>
      </c>
      <c r="K1768" s="2">
        <v>45870</v>
      </c>
      <c r="L1768" s="2">
        <v>45880</v>
      </c>
      <c r="M1768" s="1" t="s">
        <v>6662</v>
      </c>
      <c r="N1768" s="1" t="s">
        <v>6661</v>
      </c>
    </row>
    <row r="1769" spans="1:14" x14ac:dyDescent="0.35">
      <c r="A1769" s="1" t="s">
        <v>4321</v>
      </c>
      <c r="B1769" s="3" t="s">
        <v>4087</v>
      </c>
      <c r="C1769" s="1" t="s">
        <v>4134</v>
      </c>
      <c r="D1769" s="1" t="s">
        <v>6660</v>
      </c>
      <c r="E1769" s="1" t="str">
        <f>"2320"</f>
        <v>2320</v>
      </c>
      <c r="F1769" s="1" t="s">
        <v>3361</v>
      </c>
      <c r="G1769" s="1" t="s">
        <v>3362</v>
      </c>
      <c r="H1769" s="1" t="s">
        <v>15</v>
      </c>
      <c r="I1769" s="3" t="str">
        <f>"1"</f>
        <v>1</v>
      </c>
      <c r="J1769" s="3" t="str">
        <f>"876918"</f>
        <v>876918</v>
      </c>
      <c r="K1769" s="2">
        <v>45870</v>
      </c>
      <c r="L1769" s="2">
        <v>45880</v>
      </c>
      <c r="M1769" s="1" t="s">
        <v>6659</v>
      </c>
      <c r="N1769" s="1" t="s">
        <v>6658</v>
      </c>
    </row>
    <row r="1770" spans="1:14" x14ac:dyDescent="0.35">
      <c r="A1770" s="1" t="s">
        <v>4321</v>
      </c>
      <c r="B1770" s="3" t="s">
        <v>601</v>
      </c>
      <c r="C1770" s="1" t="s">
        <v>602</v>
      </c>
      <c r="D1770" s="1" t="s">
        <v>6657</v>
      </c>
      <c r="E1770" s="1" t="str">
        <f>"2310"</f>
        <v>2310</v>
      </c>
      <c r="F1770" s="1" t="s">
        <v>2222</v>
      </c>
      <c r="G1770" s="1" t="s">
        <v>2223</v>
      </c>
      <c r="H1770" s="1" t="s">
        <v>15</v>
      </c>
      <c r="I1770" s="3" t="str">
        <f>"1"</f>
        <v>1</v>
      </c>
      <c r="J1770" s="3" t="str">
        <f>"3500"</f>
        <v>3500</v>
      </c>
      <c r="K1770" s="2">
        <v>45869</v>
      </c>
      <c r="L1770" s="2">
        <v>45880</v>
      </c>
      <c r="M1770" s="1" t="s">
        <v>6656</v>
      </c>
      <c r="N1770" s="1" t="s">
        <v>6655</v>
      </c>
    </row>
    <row r="1771" spans="1:14" x14ac:dyDescent="0.35">
      <c r="A1771" s="1" t="s">
        <v>4321</v>
      </c>
      <c r="B1771" s="3" t="s">
        <v>3105</v>
      </c>
      <c r="C1771" s="1" t="s">
        <v>3114</v>
      </c>
      <c r="D1771" s="1" t="s">
        <v>6654</v>
      </c>
      <c r="E1771" s="1" t="str">
        <f>"2320"</f>
        <v>2320</v>
      </c>
      <c r="F1771" s="1" t="s">
        <v>3361</v>
      </c>
      <c r="G1771" s="1" t="s">
        <v>3362</v>
      </c>
      <c r="H1771" s="1" t="s">
        <v>15</v>
      </c>
      <c r="I1771" s="3" t="str">
        <f>"1"</f>
        <v>1</v>
      </c>
      <c r="J1771" s="3" t="str">
        <f>"876918"</f>
        <v>876918</v>
      </c>
      <c r="K1771" s="2">
        <v>45869</v>
      </c>
      <c r="L1771" s="2">
        <v>45880</v>
      </c>
      <c r="M1771" s="1" t="s">
        <v>6651</v>
      </c>
      <c r="N1771" s="1" t="s">
        <v>6653</v>
      </c>
    </row>
    <row r="1772" spans="1:14" x14ac:dyDescent="0.35">
      <c r="A1772" s="1" t="s">
        <v>4321</v>
      </c>
      <c r="B1772" s="3" t="s">
        <v>3105</v>
      </c>
      <c r="C1772" s="1" t="s">
        <v>3114</v>
      </c>
      <c r="D1772" s="1" t="s">
        <v>6652</v>
      </c>
      <c r="E1772" s="1" t="str">
        <f>"2320"</f>
        <v>2320</v>
      </c>
      <c r="F1772" s="1" t="s">
        <v>3361</v>
      </c>
      <c r="G1772" s="1" t="s">
        <v>3362</v>
      </c>
      <c r="H1772" s="1" t="s">
        <v>15</v>
      </c>
      <c r="I1772" s="3" t="str">
        <f>"1"</f>
        <v>1</v>
      </c>
      <c r="J1772" s="3" t="str">
        <f>"876918"</f>
        <v>876918</v>
      </c>
      <c r="K1772" s="2">
        <v>45869</v>
      </c>
      <c r="L1772" s="2">
        <v>45880</v>
      </c>
      <c r="M1772" s="1" t="s">
        <v>6651</v>
      </c>
      <c r="N1772" s="1" t="s">
        <v>6650</v>
      </c>
    </row>
    <row r="1773" spans="1:14" x14ac:dyDescent="0.35">
      <c r="A1773" s="1" t="s">
        <v>4321</v>
      </c>
      <c r="B1773" s="3" t="s">
        <v>3105</v>
      </c>
      <c r="C1773" s="1" t="s">
        <v>3141</v>
      </c>
      <c r="D1773" s="1" t="s">
        <v>6649</v>
      </c>
      <c r="E1773" s="1" t="str">
        <f>"4240"</f>
        <v>4240</v>
      </c>
      <c r="F1773" s="1" t="str">
        <f>"015803054"</f>
        <v>015803054</v>
      </c>
      <c r="G1773" s="1" t="s">
        <v>2664</v>
      </c>
      <c r="H1773" s="1" t="s">
        <v>15</v>
      </c>
      <c r="I1773" s="3" t="str">
        <f>"10"</f>
        <v>10</v>
      </c>
      <c r="J1773" s="3">
        <v>382.4</v>
      </c>
      <c r="K1773" s="2">
        <v>45869</v>
      </c>
      <c r="L1773" s="2">
        <v>45880</v>
      </c>
      <c r="M1773" s="1" t="s">
        <v>6648</v>
      </c>
      <c r="N1773" s="1" t="s">
        <v>6647</v>
      </c>
    </row>
    <row r="1774" spans="1:14" x14ac:dyDescent="0.35">
      <c r="A1774" s="1" t="s">
        <v>4321</v>
      </c>
      <c r="B1774" s="3" t="s">
        <v>2494</v>
      </c>
      <c r="C1774" s="1" t="s">
        <v>6646</v>
      </c>
      <c r="D1774" s="1" t="s">
        <v>6645</v>
      </c>
      <c r="E1774" s="1" t="str">
        <f>"6920"</f>
        <v>6920</v>
      </c>
      <c r="F1774" s="1" t="s">
        <v>2759</v>
      </c>
      <c r="G1774" s="1" t="s">
        <v>2760</v>
      </c>
      <c r="H1774" s="1" t="s">
        <v>15</v>
      </c>
      <c r="I1774" s="3" t="str">
        <f>"8"</f>
        <v>8</v>
      </c>
      <c r="J1774" s="3" t="str">
        <f>"50"</f>
        <v>50</v>
      </c>
      <c r="K1774" s="2">
        <v>45869</v>
      </c>
      <c r="L1774" s="2">
        <v>45880</v>
      </c>
      <c r="M1774" s="1" t="s">
        <v>6644</v>
      </c>
      <c r="N1774" s="1" t="s">
        <v>6643</v>
      </c>
    </row>
    <row r="1775" spans="1:14" x14ac:dyDescent="0.35">
      <c r="A1775" s="1" t="s">
        <v>4321</v>
      </c>
      <c r="B1775" s="3" t="s">
        <v>4284</v>
      </c>
      <c r="C1775" s="1" t="s">
        <v>4303</v>
      </c>
      <c r="D1775" s="1" t="s">
        <v>6642</v>
      </c>
      <c r="E1775" s="1" t="str">
        <f>"6545"</f>
        <v>6545</v>
      </c>
      <c r="F1775" s="1" t="s">
        <v>6588</v>
      </c>
      <c r="G1775" s="1" t="s">
        <v>6587</v>
      </c>
      <c r="H1775" s="1" t="s">
        <v>15</v>
      </c>
      <c r="I1775" s="3" t="str">
        <f>"50"</f>
        <v>50</v>
      </c>
      <c r="J1775" s="3">
        <v>109.73</v>
      </c>
      <c r="K1775" s="2">
        <v>45869</v>
      </c>
      <c r="L1775" s="2">
        <v>45880</v>
      </c>
      <c r="M1775" s="1" t="s">
        <v>6641</v>
      </c>
      <c r="N1775" s="1" t="s">
        <v>6640</v>
      </c>
    </row>
    <row r="1776" spans="1:14" x14ac:dyDescent="0.35">
      <c r="A1776" s="1" t="s">
        <v>4321</v>
      </c>
      <c r="B1776" s="3" t="s">
        <v>2456</v>
      </c>
      <c r="C1776" s="1" t="s">
        <v>2457</v>
      </c>
      <c r="D1776" s="1" t="s">
        <v>6639</v>
      </c>
      <c r="E1776" s="1" t="str">
        <f>"8465"</f>
        <v>8465</v>
      </c>
      <c r="F1776" s="1" t="str">
        <f>"016036613"</f>
        <v>016036613</v>
      </c>
      <c r="G1776" s="1" t="s">
        <v>804</v>
      </c>
      <c r="H1776" s="1" t="s">
        <v>15</v>
      </c>
      <c r="I1776" s="3" t="str">
        <f>"9"</f>
        <v>9</v>
      </c>
      <c r="J1776" s="3">
        <v>411.37</v>
      </c>
      <c r="K1776" s="2">
        <v>45868</v>
      </c>
      <c r="L1776" s="2">
        <v>45880</v>
      </c>
      <c r="M1776" s="1" t="s">
        <v>6638</v>
      </c>
      <c r="N1776" s="1" t="s">
        <v>6637</v>
      </c>
    </row>
    <row r="1777" spans="1:14" x14ac:dyDescent="0.35">
      <c r="A1777" s="1" t="s">
        <v>4321</v>
      </c>
      <c r="B1777" s="3" t="s">
        <v>3183</v>
      </c>
      <c r="C1777" s="1" t="s">
        <v>3339</v>
      </c>
      <c r="D1777" s="1" t="s">
        <v>6636</v>
      </c>
      <c r="E1777" s="1" t="str">
        <f>"6920"</f>
        <v>6920</v>
      </c>
      <c r="F1777" s="1" t="s">
        <v>2759</v>
      </c>
      <c r="G1777" s="1" t="s">
        <v>2760</v>
      </c>
      <c r="H1777" s="1" t="s">
        <v>15</v>
      </c>
      <c r="I1777" s="3" t="str">
        <f>"25"</f>
        <v>25</v>
      </c>
      <c r="J1777" s="3" t="str">
        <f>"50"</f>
        <v>50</v>
      </c>
      <c r="K1777" s="2">
        <v>45868</v>
      </c>
      <c r="L1777" s="2">
        <v>45880</v>
      </c>
      <c r="M1777" s="1" t="s">
        <v>6635</v>
      </c>
      <c r="N1777" s="1" t="s">
        <v>6634</v>
      </c>
    </row>
    <row r="1778" spans="1:14" x14ac:dyDescent="0.35">
      <c r="A1778" s="1" t="s">
        <v>4321</v>
      </c>
      <c r="B1778" s="3" t="s">
        <v>2444</v>
      </c>
      <c r="C1778" s="1" t="s">
        <v>2445</v>
      </c>
      <c r="D1778" s="1" t="s">
        <v>6633</v>
      </c>
      <c r="E1778" s="1" t="str">
        <f>"6140"</f>
        <v>6140</v>
      </c>
      <c r="F1778" s="1" t="str">
        <f>"015487566"</f>
        <v>015487566</v>
      </c>
      <c r="G1778" s="1" t="s">
        <v>4327</v>
      </c>
      <c r="H1778" s="1" t="s">
        <v>15</v>
      </c>
      <c r="I1778" s="3" t="str">
        <f>"10"</f>
        <v>10</v>
      </c>
      <c r="J1778" s="3">
        <v>560.99</v>
      </c>
      <c r="K1778" s="2">
        <v>45867</v>
      </c>
      <c r="L1778" s="2">
        <v>45880</v>
      </c>
      <c r="M1778" s="1" t="s">
        <v>6632</v>
      </c>
      <c r="N1778" s="1" t="s">
        <v>6631</v>
      </c>
    </row>
    <row r="1779" spans="1:14" x14ac:dyDescent="0.35">
      <c r="A1779" s="1" t="s">
        <v>4321</v>
      </c>
      <c r="B1779" s="3" t="s">
        <v>2248</v>
      </c>
      <c r="C1779" s="1" t="s">
        <v>2249</v>
      </c>
      <c r="D1779" s="1" t="s">
        <v>6630</v>
      </c>
      <c r="E1779" s="1" t="str">
        <f>"2330"</f>
        <v>2330</v>
      </c>
      <c r="F1779" s="1" t="s">
        <v>70</v>
      </c>
      <c r="G1779" s="1" t="s">
        <v>71</v>
      </c>
      <c r="H1779" s="1" t="s">
        <v>15</v>
      </c>
      <c r="I1779" s="3" t="str">
        <f>"1"</f>
        <v>1</v>
      </c>
      <c r="J1779" s="3" t="str">
        <f>"54300"</f>
        <v>54300</v>
      </c>
      <c r="K1779" s="2">
        <v>45866</v>
      </c>
      <c r="L1779" s="2">
        <v>45880</v>
      </c>
      <c r="M1779" s="1" t="s">
        <v>6629</v>
      </c>
      <c r="N1779" s="1" t="s">
        <v>6628</v>
      </c>
    </row>
    <row r="1780" spans="1:14" x14ac:dyDescent="0.35">
      <c r="A1780" s="1" t="s">
        <v>4321</v>
      </c>
      <c r="B1780" s="3" t="s">
        <v>2000</v>
      </c>
      <c r="C1780" s="1" t="s">
        <v>4539</v>
      </c>
      <c r="D1780" s="1" t="s">
        <v>6627</v>
      </c>
      <c r="E1780" s="1" t="str">
        <f>"6545"</f>
        <v>6545</v>
      </c>
      <c r="F1780" s="1" t="s">
        <v>6588</v>
      </c>
      <c r="G1780" s="1" t="s">
        <v>6587</v>
      </c>
      <c r="H1780" s="1" t="s">
        <v>15</v>
      </c>
      <c r="I1780" s="3" t="str">
        <f>"40"</f>
        <v>40</v>
      </c>
      <c r="J1780" s="3">
        <v>109.73</v>
      </c>
      <c r="K1780" s="2">
        <v>45866</v>
      </c>
      <c r="L1780" s="2">
        <v>45880</v>
      </c>
      <c r="M1780" s="1" t="s">
        <v>6626</v>
      </c>
      <c r="N1780" s="1" t="s">
        <v>6625</v>
      </c>
    </row>
    <row r="1781" spans="1:14" x14ac:dyDescent="0.35">
      <c r="A1781" s="1" t="s">
        <v>4321</v>
      </c>
      <c r="B1781" s="3" t="s">
        <v>3885</v>
      </c>
      <c r="C1781" s="1" t="s">
        <v>3891</v>
      </c>
      <c r="D1781" s="1" t="s">
        <v>6624</v>
      </c>
      <c r="E1781" s="1" t="str">
        <f>"2320"</f>
        <v>2320</v>
      </c>
      <c r="F1781" s="1" t="s">
        <v>321</v>
      </c>
      <c r="G1781" s="1" t="s">
        <v>322</v>
      </c>
      <c r="H1781" s="1" t="s">
        <v>15</v>
      </c>
      <c r="I1781" s="3" t="str">
        <f>"1"</f>
        <v>1</v>
      </c>
      <c r="J1781" s="3" t="str">
        <f>"9938"</f>
        <v>9938</v>
      </c>
      <c r="K1781" s="2">
        <v>45866</v>
      </c>
      <c r="L1781" s="2">
        <v>45880</v>
      </c>
      <c r="M1781" s="1" t="s">
        <v>6623</v>
      </c>
      <c r="N1781" s="1" t="s">
        <v>6622</v>
      </c>
    </row>
    <row r="1782" spans="1:14" x14ac:dyDescent="0.35">
      <c r="A1782" s="1" t="s">
        <v>4321</v>
      </c>
      <c r="B1782" s="3" t="s">
        <v>2000</v>
      </c>
      <c r="C1782" s="1" t="s">
        <v>2027</v>
      </c>
      <c r="D1782" s="1" t="s">
        <v>6621</v>
      </c>
      <c r="E1782" s="1" t="str">
        <f>"5855"</f>
        <v>5855</v>
      </c>
      <c r="F1782" s="1" t="str">
        <f>"015264703"</f>
        <v>015264703</v>
      </c>
      <c r="G1782" s="1" t="s">
        <v>1953</v>
      </c>
      <c r="H1782" s="1" t="s">
        <v>15</v>
      </c>
      <c r="I1782" s="3" t="str">
        <f>"1"</f>
        <v>1</v>
      </c>
      <c r="J1782" s="3">
        <v>10100.040000000001</v>
      </c>
      <c r="K1782" s="2">
        <v>45866</v>
      </c>
      <c r="L1782" s="2">
        <v>45880</v>
      </c>
      <c r="M1782" s="1" t="s">
        <v>6069</v>
      </c>
      <c r="N1782" s="1" t="s">
        <v>6620</v>
      </c>
    </row>
    <row r="1783" spans="1:14" x14ac:dyDescent="0.35">
      <c r="A1783" s="1" t="s">
        <v>4321</v>
      </c>
      <c r="B1783" s="3" t="s">
        <v>93</v>
      </c>
      <c r="C1783" s="1" t="s">
        <v>258</v>
      </c>
      <c r="D1783" s="1" t="s">
        <v>6619</v>
      </c>
      <c r="E1783" s="1" t="str">
        <f>"7025"</f>
        <v>7025</v>
      </c>
      <c r="F1783" s="1" t="s">
        <v>2323</v>
      </c>
      <c r="G1783" s="1" t="s">
        <v>2324</v>
      </c>
      <c r="H1783" s="1" t="s">
        <v>15</v>
      </c>
      <c r="I1783" s="3" t="str">
        <f>"4"</f>
        <v>4</v>
      </c>
      <c r="J1783" s="3">
        <v>991.94</v>
      </c>
      <c r="K1783" s="2">
        <v>45866</v>
      </c>
      <c r="L1783" s="2">
        <v>45880</v>
      </c>
      <c r="M1783" s="1" t="s">
        <v>6618</v>
      </c>
      <c r="N1783" s="1" t="s">
        <v>6617</v>
      </c>
    </row>
    <row r="1784" spans="1:14" x14ac:dyDescent="0.35">
      <c r="A1784" s="1" t="s">
        <v>4321</v>
      </c>
      <c r="B1784" s="3" t="s">
        <v>2145</v>
      </c>
      <c r="C1784" s="1" t="s">
        <v>2153</v>
      </c>
      <c r="D1784" s="1" t="s">
        <v>6616</v>
      </c>
      <c r="E1784" s="1" t="str">
        <f>"2320"</f>
        <v>2320</v>
      </c>
      <c r="F1784" s="1" t="s">
        <v>321</v>
      </c>
      <c r="G1784" s="1" t="s">
        <v>322</v>
      </c>
      <c r="H1784" s="1" t="s">
        <v>15</v>
      </c>
      <c r="I1784" s="3" t="str">
        <f>"1"</f>
        <v>1</v>
      </c>
      <c r="J1784" s="3" t="str">
        <f>"9938"</f>
        <v>9938</v>
      </c>
      <c r="K1784" s="2">
        <v>45866</v>
      </c>
      <c r="L1784" s="2">
        <v>45880</v>
      </c>
      <c r="M1784" s="1" t="s">
        <v>6615</v>
      </c>
      <c r="N1784" s="1" t="s">
        <v>6614</v>
      </c>
    </row>
    <row r="1785" spans="1:14" x14ac:dyDescent="0.35">
      <c r="A1785" s="1" t="s">
        <v>4321</v>
      </c>
      <c r="B1785" s="3" t="s">
        <v>2145</v>
      </c>
      <c r="C1785" s="1" t="s">
        <v>2213</v>
      </c>
      <c r="D1785" s="1" t="s">
        <v>6613</v>
      </c>
      <c r="E1785" s="1" t="str">
        <f>"8465"</f>
        <v>8465</v>
      </c>
      <c r="F1785" s="1" t="str">
        <f>"016036613"</f>
        <v>016036613</v>
      </c>
      <c r="G1785" s="1" t="s">
        <v>804</v>
      </c>
      <c r="H1785" s="1" t="s">
        <v>15</v>
      </c>
      <c r="I1785" s="3" t="str">
        <f>"5"</f>
        <v>5</v>
      </c>
      <c r="J1785" s="3">
        <v>411.37</v>
      </c>
      <c r="K1785" s="2">
        <v>45866</v>
      </c>
      <c r="L1785" s="2">
        <v>45880</v>
      </c>
      <c r="M1785" s="1" t="s">
        <v>6612</v>
      </c>
      <c r="N1785" s="1" t="s">
        <v>6611</v>
      </c>
    </row>
    <row r="1786" spans="1:14" x14ac:dyDescent="0.35">
      <c r="A1786" s="1" t="s">
        <v>4321</v>
      </c>
      <c r="B1786" s="3" t="s">
        <v>2248</v>
      </c>
      <c r="C1786" s="1" t="s">
        <v>2311</v>
      </c>
      <c r="D1786" s="1" t="s">
        <v>6610</v>
      </c>
      <c r="E1786" s="1" t="str">
        <f>"2320"</f>
        <v>2320</v>
      </c>
      <c r="F1786" s="1" t="s">
        <v>321</v>
      </c>
      <c r="G1786" s="1" t="s">
        <v>322</v>
      </c>
      <c r="H1786" s="1" t="s">
        <v>15</v>
      </c>
      <c r="I1786" s="3" t="str">
        <f>"1"</f>
        <v>1</v>
      </c>
      <c r="J1786" s="3" t="str">
        <f>"9938"</f>
        <v>9938</v>
      </c>
      <c r="K1786" s="2">
        <v>45866</v>
      </c>
      <c r="L1786" s="2">
        <v>45880</v>
      </c>
      <c r="M1786" s="1" t="s">
        <v>6609</v>
      </c>
      <c r="N1786" s="1" t="s">
        <v>6608</v>
      </c>
    </row>
    <row r="1787" spans="1:14" x14ac:dyDescent="0.35">
      <c r="A1787" s="1" t="s">
        <v>4321</v>
      </c>
      <c r="B1787" s="3" t="s">
        <v>3105</v>
      </c>
      <c r="C1787" s="1" t="s">
        <v>4877</v>
      </c>
      <c r="D1787" s="1" t="s">
        <v>6607</v>
      </c>
      <c r="E1787" s="1" t="str">
        <f>"2330"</f>
        <v>2330</v>
      </c>
      <c r="F1787" s="1" t="s">
        <v>70</v>
      </c>
      <c r="G1787" s="1" t="s">
        <v>71</v>
      </c>
      <c r="H1787" s="1" t="s">
        <v>15</v>
      </c>
      <c r="I1787" s="3" t="str">
        <f>"1"</f>
        <v>1</v>
      </c>
      <c r="J1787" s="3" t="str">
        <f>"54300"</f>
        <v>54300</v>
      </c>
      <c r="K1787" s="2">
        <v>45866</v>
      </c>
      <c r="L1787" s="2">
        <v>45880</v>
      </c>
      <c r="M1787" s="1" t="s">
        <v>6606</v>
      </c>
      <c r="N1787" s="1" t="s">
        <v>6605</v>
      </c>
    </row>
    <row r="1788" spans="1:14" x14ac:dyDescent="0.35">
      <c r="A1788" s="1" t="s">
        <v>4321</v>
      </c>
      <c r="B1788" s="3" t="s">
        <v>601</v>
      </c>
      <c r="C1788" s="1" t="s">
        <v>664</v>
      </c>
      <c r="D1788" s="1" t="s">
        <v>6604</v>
      </c>
      <c r="E1788" s="1" t="str">
        <f>"2330"</f>
        <v>2330</v>
      </c>
      <c r="F1788" s="1" t="s">
        <v>70</v>
      </c>
      <c r="G1788" s="1" t="s">
        <v>71</v>
      </c>
      <c r="H1788" s="1" t="s">
        <v>15</v>
      </c>
      <c r="I1788" s="3" t="str">
        <f>"1"</f>
        <v>1</v>
      </c>
      <c r="J1788" s="3" t="str">
        <f>"54300"</f>
        <v>54300</v>
      </c>
      <c r="K1788" s="2">
        <v>45866</v>
      </c>
      <c r="L1788" s="2">
        <v>45880</v>
      </c>
      <c r="M1788" s="1" t="s">
        <v>6603</v>
      </c>
      <c r="N1788" s="1" t="s">
        <v>6602</v>
      </c>
    </row>
    <row r="1789" spans="1:14" x14ac:dyDescent="0.35">
      <c r="A1789" s="1" t="s">
        <v>4321</v>
      </c>
      <c r="B1789" s="3" t="s">
        <v>2248</v>
      </c>
      <c r="C1789" s="1" t="s">
        <v>2357</v>
      </c>
      <c r="D1789" s="1" t="s">
        <v>6601</v>
      </c>
      <c r="E1789" s="1" t="str">
        <f>"5855"</f>
        <v>5855</v>
      </c>
      <c r="F1789" s="1" t="str">
        <f>"015264703"</f>
        <v>015264703</v>
      </c>
      <c r="G1789" s="1" t="s">
        <v>1953</v>
      </c>
      <c r="H1789" s="1" t="s">
        <v>15</v>
      </c>
      <c r="I1789" s="3" t="str">
        <f>"1"</f>
        <v>1</v>
      </c>
      <c r="J1789" s="3">
        <v>10100.040000000001</v>
      </c>
      <c r="K1789" s="2">
        <v>45866</v>
      </c>
      <c r="L1789" s="2">
        <v>45880</v>
      </c>
      <c r="M1789" s="1" t="s">
        <v>6600</v>
      </c>
      <c r="N1789" s="1" t="s">
        <v>6599</v>
      </c>
    </row>
    <row r="1790" spans="1:14" x14ac:dyDescent="0.35">
      <c r="A1790" s="1" t="s">
        <v>4321</v>
      </c>
      <c r="B1790" s="3" t="s">
        <v>3885</v>
      </c>
      <c r="C1790" s="1" t="s">
        <v>6595</v>
      </c>
      <c r="D1790" s="1" t="s">
        <v>6598</v>
      </c>
      <c r="E1790" s="1" t="str">
        <f>"2330"</f>
        <v>2330</v>
      </c>
      <c r="F1790" s="1" t="s">
        <v>70</v>
      </c>
      <c r="G1790" s="1" t="s">
        <v>71</v>
      </c>
      <c r="H1790" s="1" t="s">
        <v>15</v>
      </c>
      <c r="I1790" s="3" t="str">
        <f>"1"</f>
        <v>1</v>
      </c>
      <c r="J1790" s="3" t="str">
        <f>"54300"</f>
        <v>54300</v>
      </c>
      <c r="K1790" s="2">
        <v>45866</v>
      </c>
      <c r="L1790" s="2">
        <v>45880</v>
      </c>
      <c r="M1790" s="1" t="s">
        <v>6597</v>
      </c>
      <c r="N1790" s="1" t="s">
        <v>6596</v>
      </c>
    </row>
    <row r="1791" spans="1:14" x14ac:dyDescent="0.35">
      <c r="A1791" s="1" t="s">
        <v>4321</v>
      </c>
      <c r="B1791" s="3" t="s">
        <v>3885</v>
      </c>
      <c r="C1791" s="1" t="s">
        <v>6595</v>
      </c>
      <c r="D1791" s="1" t="s">
        <v>6594</v>
      </c>
      <c r="E1791" s="1" t="str">
        <f>"2330"</f>
        <v>2330</v>
      </c>
      <c r="F1791" s="1" t="s">
        <v>70</v>
      </c>
      <c r="G1791" s="1" t="s">
        <v>71</v>
      </c>
      <c r="H1791" s="1" t="s">
        <v>15</v>
      </c>
      <c r="I1791" s="3" t="str">
        <f>"1"</f>
        <v>1</v>
      </c>
      <c r="J1791" s="3" t="str">
        <f>"54300"</f>
        <v>54300</v>
      </c>
      <c r="K1791" s="2">
        <v>45866</v>
      </c>
      <c r="L1791" s="2">
        <v>45880</v>
      </c>
      <c r="M1791" s="1" t="s">
        <v>6593</v>
      </c>
      <c r="N1791" s="1" t="s">
        <v>6592</v>
      </c>
    </row>
    <row r="1792" spans="1:14" x14ac:dyDescent="0.35">
      <c r="A1792" s="1" t="s">
        <v>4321</v>
      </c>
      <c r="B1792" s="3" t="s">
        <v>2720</v>
      </c>
      <c r="C1792" s="1" t="s">
        <v>2931</v>
      </c>
      <c r="D1792" s="1" t="s">
        <v>6591</v>
      </c>
      <c r="E1792" s="1" t="str">
        <f>"5855"</f>
        <v>5855</v>
      </c>
      <c r="F1792" s="1" t="str">
        <f>"015264703"</f>
        <v>015264703</v>
      </c>
      <c r="G1792" s="1" t="s">
        <v>1953</v>
      </c>
      <c r="H1792" s="1" t="s">
        <v>15</v>
      </c>
      <c r="I1792" s="3" t="str">
        <f>"1"</f>
        <v>1</v>
      </c>
      <c r="J1792" s="3">
        <v>10100.040000000001</v>
      </c>
      <c r="K1792" s="2">
        <v>45866</v>
      </c>
      <c r="L1792" s="2">
        <v>45880</v>
      </c>
      <c r="M1792" s="1" t="s">
        <v>2937</v>
      </c>
      <c r="N1792" s="1" t="s">
        <v>6590</v>
      </c>
    </row>
    <row r="1793" spans="1:14" x14ac:dyDescent="0.35">
      <c r="A1793" s="1" t="s">
        <v>4321</v>
      </c>
      <c r="B1793" s="3" t="s">
        <v>2720</v>
      </c>
      <c r="C1793" s="1" t="s">
        <v>2931</v>
      </c>
      <c r="D1793" s="1" t="s">
        <v>6589</v>
      </c>
      <c r="E1793" s="1" t="str">
        <f>"6545"</f>
        <v>6545</v>
      </c>
      <c r="F1793" s="1" t="s">
        <v>6588</v>
      </c>
      <c r="G1793" s="1" t="s">
        <v>6587</v>
      </c>
      <c r="H1793" s="1" t="s">
        <v>15</v>
      </c>
      <c r="I1793" s="3" t="str">
        <f>"75"</f>
        <v>75</v>
      </c>
      <c r="J1793" s="3">
        <v>109.73</v>
      </c>
      <c r="K1793" s="2">
        <v>45866</v>
      </c>
      <c r="L1793" s="2">
        <v>45880</v>
      </c>
      <c r="M1793" s="1" t="s">
        <v>6586</v>
      </c>
      <c r="N1793" s="1" t="s">
        <v>6585</v>
      </c>
    </row>
    <row r="1794" spans="1:14" x14ac:dyDescent="0.35">
      <c r="A1794" s="1" t="s">
        <v>4321</v>
      </c>
      <c r="B1794" s="3" t="s">
        <v>3885</v>
      </c>
      <c r="C1794" s="1" t="s">
        <v>4019</v>
      </c>
      <c r="D1794" s="1" t="s">
        <v>6584</v>
      </c>
      <c r="E1794" s="1" t="str">
        <f>"2320"</f>
        <v>2320</v>
      </c>
      <c r="F1794" s="1" t="s">
        <v>321</v>
      </c>
      <c r="G1794" s="1" t="s">
        <v>322</v>
      </c>
      <c r="H1794" s="1" t="s">
        <v>15</v>
      </c>
      <c r="I1794" s="3" t="str">
        <f>"1"</f>
        <v>1</v>
      </c>
      <c r="J1794" s="3" t="str">
        <f>"9938"</f>
        <v>9938</v>
      </c>
      <c r="K1794" s="2">
        <v>45866</v>
      </c>
      <c r="L1794" s="2">
        <v>45880</v>
      </c>
      <c r="M1794" s="1" t="s">
        <v>6583</v>
      </c>
      <c r="N1794" s="1" t="s">
        <v>6582</v>
      </c>
    </row>
    <row r="1795" spans="1:14" x14ac:dyDescent="0.35">
      <c r="A1795" s="1" t="s">
        <v>4321</v>
      </c>
      <c r="B1795" s="3" t="s">
        <v>93</v>
      </c>
      <c r="C1795" s="1" t="s">
        <v>4416</v>
      </c>
      <c r="D1795" s="1" t="s">
        <v>6581</v>
      </c>
      <c r="E1795" s="1" t="str">
        <f>"2310"</f>
        <v>2310</v>
      </c>
      <c r="F1795" s="1" t="s">
        <v>2377</v>
      </c>
      <c r="G1795" s="1" t="s">
        <v>2378</v>
      </c>
      <c r="H1795" s="1" t="s">
        <v>15</v>
      </c>
      <c r="I1795" s="3" t="str">
        <f>"1"</f>
        <v>1</v>
      </c>
      <c r="J1795" s="3" t="str">
        <f>"11432"</f>
        <v>11432</v>
      </c>
      <c r="K1795" s="2">
        <v>45865</v>
      </c>
      <c r="L1795" s="2">
        <v>45880</v>
      </c>
      <c r="M1795" s="1" t="s">
        <v>6580</v>
      </c>
      <c r="N1795" s="1" t="s">
        <v>6579</v>
      </c>
    </row>
    <row r="1796" spans="1:14" x14ac:dyDescent="0.35">
      <c r="A1796" s="1" t="s">
        <v>4321</v>
      </c>
      <c r="B1796" s="3" t="s">
        <v>93</v>
      </c>
      <c r="C1796" s="1" t="s">
        <v>4416</v>
      </c>
      <c r="D1796" s="1" t="s">
        <v>6578</v>
      </c>
      <c r="E1796" s="1" t="str">
        <f>"2330"</f>
        <v>2330</v>
      </c>
      <c r="F1796" s="1" t="s">
        <v>70</v>
      </c>
      <c r="G1796" s="1" t="s">
        <v>71</v>
      </c>
      <c r="H1796" s="1" t="s">
        <v>15</v>
      </c>
      <c r="I1796" s="3" t="str">
        <f>"1"</f>
        <v>1</v>
      </c>
      <c r="J1796" s="3" t="str">
        <f>"54300"</f>
        <v>54300</v>
      </c>
      <c r="K1796" s="2">
        <v>45865</v>
      </c>
      <c r="L1796" s="2">
        <v>45880</v>
      </c>
      <c r="M1796" s="1" t="s">
        <v>6577</v>
      </c>
      <c r="N1796" s="1" t="s">
        <v>6576</v>
      </c>
    </row>
    <row r="1797" spans="1:14" x14ac:dyDescent="0.35">
      <c r="A1797" s="1" t="s">
        <v>4321</v>
      </c>
      <c r="B1797" s="3" t="s">
        <v>1857</v>
      </c>
      <c r="C1797" s="1" t="s">
        <v>1869</v>
      </c>
      <c r="D1797" s="1" t="s">
        <v>6575</v>
      </c>
      <c r="E1797" s="1" t="str">
        <f>"2330"</f>
        <v>2330</v>
      </c>
      <c r="F1797" s="1" t="s">
        <v>70</v>
      </c>
      <c r="G1797" s="1" t="s">
        <v>71</v>
      </c>
      <c r="H1797" s="1" t="s">
        <v>15</v>
      </c>
      <c r="I1797" s="3" t="str">
        <f>"1"</f>
        <v>1</v>
      </c>
      <c r="J1797" s="3" t="str">
        <f>"54300"</f>
        <v>54300</v>
      </c>
      <c r="K1797" s="2">
        <v>45864</v>
      </c>
      <c r="L1797" s="2">
        <v>45880</v>
      </c>
      <c r="M1797" s="1" t="s">
        <v>6574</v>
      </c>
      <c r="N1797" s="1" t="s">
        <v>6573</v>
      </c>
    </row>
    <row r="1798" spans="1:14" x14ac:dyDescent="0.35">
      <c r="A1798" s="1" t="s">
        <v>4321</v>
      </c>
      <c r="B1798" s="3" t="s">
        <v>2145</v>
      </c>
      <c r="C1798" s="1" t="s">
        <v>2153</v>
      </c>
      <c r="D1798" s="1" t="s">
        <v>6572</v>
      </c>
      <c r="E1798" s="1" t="str">
        <f>"2310"</f>
        <v>2310</v>
      </c>
      <c r="F1798" s="1" t="s">
        <v>2377</v>
      </c>
      <c r="G1798" s="1" t="s">
        <v>2378</v>
      </c>
      <c r="H1798" s="1" t="s">
        <v>15</v>
      </c>
      <c r="I1798" s="3" t="str">
        <f>"1"</f>
        <v>1</v>
      </c>
      <c r="J1798" s="3" t="str">
        <f>"11432"</f>
        <v>11432</v>
      </c>
      <c r="K1798" s="2">
        <v>45864</v>
      </c>
      <c r="L1798" s="2">
        <v>45880</v>
      </c>
      <c r="M1798" s="1" t="s">
        <v>6571</v>
      </c>
      <c r="N1798" s="1" t="s">
        <v>6570</v>
      </c>
    </row>
    <row r="1799" spans="1:14" x14ac:dyDescent="0.35">
      <c r="A1799" s="1" t="s">
        <v>4321</v>
      </c>
      <c r="B1799" s="3" t="s">
        <v>2145</v>
      </c>
      <c r="C1799" s="1" t="s">
        <v>2153</v>
      </c>
      <c r="D1799" s="1" t="s">
        <v>6569</v>
      </c>
      <c r="E1799" s="1" t="str">
        <f>"2340"</f>
        <v>2340</v>
      </c>
      <c r="F1799" s="1" t="s">
        <v>647</v>
      </c>
      <c r="G1799" s="1" t="s">
        <v>648</v>
      </c>
      <c r="H1799" s="1" t="s">
        <v>15</v>
      </c>
      <c r="I1799" s="3" t="str">
        <f>"1"</f>
        <v>1</v>
      </c>
      <c r="J1799" s="3" t="str">
        <f>"34000"</f>
        <v>34000</v>
      </c>
      <c r="K1799" s="2">
        <v>45864</v>
      </c>
      <c r="L1799" s="2">
        <v>45880</v>
      </c>
      <c r="M1799" s="1" t="s">
        <v>6568</v>
      </c>
      <c r="N1799" s="1" t="s">
        <v>6567</v>
      </c>
    </row>
    <row r="1800" spans="1:14" x14ac:dyDescent="0.35">
      <c r="A1800" s="1" t="s">
        <v>4321</v>
      </c>
      <c r="B1800" s="3" t="s">
        <v>2145</v>
      </c>
      <c r="C1800" s="1" t="s">
        <v>2153</v>
      </c>
      <c r="D1800" s="1" t="s">
        <v>6566</v>
      </c>
      <c r="E1800" s="1" t="str">
        <f>"2320"</f>
        <v>2320</v>
      </c>
      <c r="F1800" s="1" t="s">
        <v>274</v>
      </c>
      <c r="G1800" s="1" t="s">
        <v>275</v>
      </c>
      <c r="H1800" s="1" t="s">
        <v>15</v>
      </c>
      <c r="I1800" s="3" t="str">
        <f>"1"</f>
        <v>1</v>
      </c>
      <c r="J1800" s="3" t="str">
        <f>"30000"</f>
        <v>30000</v>
      </c>
      <c r="K1800" s="2">
        <v>45864</v>
      </c>
      <c r="L1800" s="2">
        <v>45880</v>
      </c>
      <c r="M1800" s="1" t="s">
        <v>6565</v>
      </c>
      <c r="N1800" s="1" t="s">
        <v>6564</v>
      </c>
    </row>
    <row r="1801" spans="1:14" x14ac:dyDescent="0.35">
      <c r="A1801" s="1" t="s">
        <v>4321</v>
      </c>
      <c r="B1801" s="3" t="s">
        <v>93</v>
      </c>
      <c r="C1801" s="1" t="s">
        <v>319</v>
      </c>
      <c r="D1801" s="1" t="s">
        <v>6563</v>
      </c>
      <c r="E1801" s="1" t="str">
        <f>"2340"</f>
        <v>2340</v>
      </c>
      <c r="F1801" s="1" t="s">
        <v>647</v>
      </c>
      <c r="G1801" s="1" t="s">
        <v>648</v>
      </c>
      <c r="H1801" s="1" t="s">
        <v>15</v>
      </c>
      <c r="I1801" s="3" t="str">
        <f>"2"</f>
        <v>2</v>
      </c>
      <c r="J1801" s="3" t="str">
        <f>"34000"</f>
        <v>34000</v>
      </c>
      <c r="K1801" s="2">
        <v>45864</v>
      </c>
      <c r="L1801" s="2">
        <v>45880</v>
      </c>
      <c r="M1801" s="1" t="s">
        <v>6562</v>
      </c>
      <c r="N1801" s="1" t="s">
        <v>6561</v>
      </c>
    </row>
    <row r="1802" spans="1:14" x14ac:dyDescent="0.35">
      <c r="A1802" s="1" t="s">
        <v>4321</v>
      </c>
      <c r="B1802" s="3" t="s">
        <v>2248</v>
      </c>
      <c r="C1802" s="1" t="s">
        <v>6129</v>
      </c>
      <c r="D1802" s="1" t="s">
        <v>6560</v>
      </c>
      <c r="E1802" s="1" t="str">
        <f>"2340"</f>
        <v>2340</v>
      </c>
      <c r="F1802" s="1" t="s">
        <v>647</v>
      </c>
      <c r="G1802" s="1" t="s">
        <v>648</v>
      </c>
      <c r="H1802" s="1" t="s">
        <v>15</v>
      </c>
      <c r="I1802" s="3" t="str">
        <f>"1"</f>
        <v>1</v>
      </c>
      <c r="J1802" s="3" t="str">
        <f>"34000"</f>
        <v>34000</v>
      </c>
      <c r="K1802" s="2">
        <v>45864</v>
      </c>
      <c r="L1802" s="2">
        <v>45880</v>
      </c>
      <c r="M1802" s="1" t="s">
        <v>6559</v>
      </c>
      <c r="N1802" s="1" t="s">
        <v>6558</v>
      </c>
    </row>
    <row r="1803" spans="1:14" x14ac:dyDescent="0.35">
      <c r="A1803" s="1" t="s">
        <v>4321</v>
      </c>
      <c r="B1803" s="3" t="s">
        <v>93</v>
      </c>
      <c r="C1803" s="1" t="s">
        <v>408</v>
      </c>
      <c r="D1803" s="1" t="s">
        <v>6557</v>
      </c>
      <c r="E1803" s="1" t="str">
        <f>"2340"</f>
        <v>2340</v>
      </c>
      <c r="F1803" s="1" t="s">
        <v>647</v>
      </c>
      <c r="G1803" s="1" t="s">
        <v>648</v>
      </c>
      <c r="H1803" s="1" t="s">
        <v>15</v>
      </c>
      <c r="I1803" s="3" t="str">
        <f>"1"</f>
        <v>1</v>
      </c>
      <c r="J1803" s="3" t="str">
        <f>"34000"</f>
        <v>34000</v>
      </c>
      <c r="K1803" s="2">
        <v>45864</v>
      </c>
      <c r="L1803" s="2">
        <v>45880</v>
      </c>
      <c r="M1803" s="1" t="s">
        <v>6556</v>
      </c>
      <c r="N1803" s="1" t="s">
        <v>6555</v>
      </c>
    </row>
    <row r="1804" spans="1:14" x14ac:dyDescent="0.35">
      <c r="A1804" s="1" t="s">
        <v>4321</v>
      </c>
      <c r="B1804" s="3" t="s">
        <v>2248</v>
      </c>
      <c r="C1804" s="1" t="s">
        <v>2375</v>
      </c>
      <c r="D1804" s="1" t="s">
        <v>6554</v>
      </c>
      <c r="E1804" s="1" t="str">
        <f>"2320"</f>
        <v>2320</v>
      </c>
      <c r="F1804" s="1" t="s">
        <v>321</v>
      </c>
      <c r="G1804" s="1" t="s">
        <v>322</v>
      </c>
      <c r="H1804" s="1" t="s">
        <v>15</v>
      </c>
      <c r="I1804" s="3" t="str">
        <f>"1"</f>
        <v>1</v>
      </c>
      <c r="J1804" s="3" t="str">
        <f>"49690"</f>
        <v>49690</v>
      </c>
      <c r="K1804" s="2">
        <v>45864</v>
      </c>
      <c r="L1804" s="2">
        <v>45880</v>
      </c>
      <c r="M1804" s="1" t="s">
        <v>6553</v>
      </c>
      <c r="N1804" s="1" t="s">
        <v>6552</v>
      </c>
    </row>
    <row r="1805" spans="1:14" x14ac:dyDescent="0.35">
      <c r="A1805" s="1" t="s">
        <v>4321</v>
      </c>
      <c r="B1805" s="3" t="s">
        <v>3885</v>
      </c>
      <c r="C1805" s="1" t="s">
        <v>4022</v>
      </c>
      <c r="D1805" s="1" t="s">
        <v>6551</v>
      </c>
      <c r="E1805" s="1" t="str">
        <f>"2340"</f>
        <v>2340</v>
      </c>
      <c r="F1805" s="1" t="s">
        <v>647</v>
      </c>
      <c r="G1805" s="1" t="s">
        <v>648</v>
      </c>
      <c r="H1805" s="1" t="s">
        <v>15</v>
      </c>
      <c r="I1805" s="3" t="str">
        <f>"2"</f>
        <v>2</v>
      </c>
      <c r="J1805" s="3" t="str">
        <f>"34000"</f>
        <v>34000</v>
      </c>
      <c r="K1805" s="2">
        <v>45864</v>
      </c>
      <c r="L1805" s="2">
        <v>45880</v>
      </c>
      <c r="M1805" s="1" t="s">
        <v>6550</v>
      </c>
      <c r="N1805" s="1" t="s">
        <v>6549</v>
      </c>
    </row>
    <row r="1806" spans="1:14" x14ac:dyDescent="0.35">
      <c r="A1806" s="1" t="s">
        <v>4321</v>
      </c>
      <c r="B1806" s="3" t="s">
        <v>3885</v>
      </c>
      <c r="C1806" s="1" t="s">
        <v>4022</v>
      </c>
      <c r="D1806" s="1" t="s">
        <v>6548</v>
      </c>
      <c r="E1806" s="1" t="str">
        <f>"2320"</f>
        <v>2320</v>
      </c>
      <c r="F1806" s="1" t="s">
        <v>321</v>
      </c>
      <c r="G1806" s="1" t="s">
        <v>322</v>
      </c>
      <c r="H1806" s="1" t="s">
        <v>15</v>
      </c>
      <c r="I1806" s="3" t="str">
        <f>"1"</f>
        <v>1</v>
      </c>
      <c r="J1806" s="3" t="str">
        <f>"49690"</f>
        <v>49690</v>
      </c>
      <c r="K1806" s="2">
        <v>45864</v>
      </c>
      <c r="L1806" s="2">
        <v>45880</v>
      </c>
      <c r="M1806" s="1" t="s">
        <v>6547</v>
      </c>
      <c r="N1806" s="1" t="s">
        <v>6546</v>
      </c>
    </row>
    <row r="1807" spans="1:14" x14ac:dyDescent="0.35">
      <c r="A1807" s="1" t="s">
        <v>4321</v>
      </c>
      <c r="B1807" s="3" t="s">
        <v>3885</v>
      </c>
      <c r="C1807" s="1" t="s">
        <v>4022</v>
      </c>
      <c r="D1807" s="1" t="s">
        <v>6545</v>
      </c>
      <c r="E1807" s="1" t="str">
        <f>"2330"</f>
        <v>2330</v>
      </c>
      <c r="F1807" s="1" t="s">
        <v>70</v>
      </c>
      <c r="G1807" s="1" t="s">
        <v>71</v>
      </c>
      <c r="H1807" s="1" t="s">
        <v>15</v>
      </c>
      <c r="I1807" s="3" t="str">
        <f>"1"</f>
        <v>1</v>
      </c>
      <c r="J1807" s="3" t="str">
        <f>"54300"</f>
        <v>54300</v>
      </c>
      <c r="K1807" s="2">
        <v>45864</v>
      </c>
      <c r="L1807" s="2">
        <v>45880</v>
      </c>
      <c r="M1807" s="1" t="s">
        <v>6544</v>
      </c>
      <c r="N1807" s="1" t="s">
        <v>6543</v>
      </c>
    </row>
    <row r="1808" spans="1:14" x14ac:dyDescent="0.35">
      <c r="A1808" s="1" t="s">
        <v>4321</v>
      </c>
      <c r="B1808" s="3" t="s">
        <v>3183</v>
      </c>
      <c r="C1808" s="1" t="s">
        <v>5294</v>
      </c>
      <c r="D1808" s="1" t="s">
        <v>6542</v>
      </c>
      <c r="E1808" s="1" t="str">
        <f>"3805"</f>
        <v>3805</v>
      </c>
      <c r="F1808" s="1" t="s">
        <v>2913</v>
      </c>
      <c r="G1808" s="1" t="s">
        <v>2914</v>
      </c>
      <c r="H1808" s="1" t="s">
        <v>15</v>
      </c>
      <c r="I1808" s="3" t="str">
        <f>"1"</f>
        <v>1</v>
      </c>
      <c r="J1808" s="3" t="str">
        <f>"6000"</f>
        <v>6000</v>
      </c>
      <c r="K1808" s="2">
        <v>45862</v>
      </c>
      <c r="L1808" s="2">
        <v>45880</v>
      </c>
      <c r="M1808" s="1" t="s">
        <v>5704</v>
      </c>
      <c r="N1808" s="1" t="s">
        <v>6541</v>
      </c>
    </row>
    <row r="1809" spans="1:14" x14ac:dyDescent="0.35">
      <c r="A1809" s="1" t="s">
        <v>4321</v>
      </c>
      <c r="B1809" s="3" t="s">
        <v>3183</v>
      </c>
      <c r="C1809" s="1" t="s">
        <v>3331</v>
      </c>
      <c r="D1809" s="1" t="s">
        <v>6540</v>
      </c>
      <c r="E1809" s="1" t="str">
        <f>"6115"</f>
        <v>6115</v>
      </c>
      <c r="F1809" s="1" t="str">
        <f>"009422094"</f>
        <v>009422094</v>
      </c>
      <c r="G1809" s="1" t="s">
        <v>6539</v>
      </c>
      <c r="H1809" s="1" t="s">
        <v>15</v>
      </c>
      <c r="I1809" s="3" t="str">
        <f>"1"</f>
        <v>1</v>
      </c>
      <c r="J1809" s="3">
        <v>11267.71</v>
      </c>
      <c r="K1809" s="2">
        <v>45826</v>
      </c>
      <c r="L1809" s="2">
        <v>45880</v>
      </c>
      <c r="M1809" s="1" t="s">
        <v>6538</v>
      </c>
      <c r="N1809" s="1" t="s">
        <v>6537</v>
      </c>
    </row>
    <row r="1810" spans="1:14" x14ac:dyDescent="0.35">
      <c r="A1810" s="1" t="s">
        <v>4321</v>
      </c>
      <c r="B1810" s="3" t="s">
        <v>3885</v>
      </c>
      <c r="C1810" s="1" t="s">
        <v>3901</v>
      </c>
      <c r="D1810" s="1" t="s">
        <v>6536</v>
      </c>
      <c r="E1810" s="1" t="str">
        <f>"9930"</f>
        <v>9930</v>
      </c>
      <c r="F1810" s="1" t="s">
        <v>6535</v>
      </c>
      <c r="G1810" s="1" t="s">
        <v>6534</v>
      </c>
      <c r="H1810" s="1" t="s">
        <v>15</v>
      </c>
      <c r="I1810" s="3" t="str">
        <f>"50"</f>
        <v>50</v>
      </c>
      <c r="J1810" s="3">
        <v>256.2</v>
      </c>
      <c r="K1810" s="2">
        <v>45768</v>
      </c>
      <c r="L1810" s="2">
        <v>45880</v>
      </c>
      <c r="M1810" s="1" t="s">
        <v>6533</v>
      </c>
      <c r="N1810" s="1" t="s">
        <v>6532</v>
      </c>
    </row>
    <row r="1811" spans="1:14" x14ac:dyDescent="0.35">
      <c r="A1811" s="1" t="s">
        <v>4321</v>
      </c>
      <c r="B1811" s="3" t="s">
        <v>3885</v>
      </c>
      <c r="C1811" s="1" t="s">
        <v>3901</v>
      </c>
      <c r="D1811" s="1" t="s">
        <v>6531</v>
      </c>
      <c r="E1811" s="1" t="str">
        <f>"6510"</f>
        <v>6510</v>
      </c>
      <c r="F1811" s="1" t="str">
        <f>"013122963"</f>
        <v>013122963</v>
      </c>
      <c r="G1811" s="1" t="s">
        <v>6528</v>
      </c>
      <c r="H1811" s="1" t="s">
        <v>1084</v>
      </c>
      <c r="I1811" s="3" t="str">
        <f>"2"</f>
        <v>2</v>
      </c>
      <c r="J1811" s="3">
        <v>80.959999999999994</v>
      </c>
      <c r="K1811" s="2">
        <v>45768</v>
      </c>
      <c r="L1811" s="2">
        <v>45880</v>
      </c>
      <c r="M1811" s="1" t="s">
        <v>6527</v>
      </c>
      <c r="N1811" s="1" t="s">
        <v>6530</v>
      </c>
    </row>
    <row r="1812" spans="1:14" x14ac:dyDescent="0.35">
      <c r="A1812" s="1" t="s">
        <v>4321</v>
      </c>
      <c r="B1812" s="3" t="s">
        <v>3885</v>
      </c>
      <c r="C1812" s="1" t="s">
        <v>3901</v>
      </c>
      <c r="D1812" s="1" t="s">
        <v>6529</v>
      </c>
      <c r="E1812" s="1" t="str">
        <f>"6510"</f>
        <v>6510</v>
      </c>
      <c r="F1812" s="1" t="str">
        <f>"013122963"</f>
        <v>013122963</v>
      </c>
      <c r="G1812" s="1" t="s">
        <v>6528</v>
      </c>
      <c r="H1812" s="1" t="s">
        <v>1084</v>
      </c>
      <c r="I1812" s="3" t="str">
        <f>"4"</f>
        <v>4</v>
      </c>
      <c r="J1812" s="3">
        <v>80.959999999999994</v>
      </c>
      <c r="K1812" s="2">
        <v>45768</v>
      </c>
      <c r="L1812" s="2">
        <v>45880</v>
      </c>
      <c r="M1812" s="1" t="s">
        <v>6527</v>
      </c>
      <c r="N1812" s="1" t="s">
        <v>6526</v>
      </c>
    </row>
    <row r="1813" spans="1:14" x14ac:dyDescent="0.35">
      <c r="A1813" s="1" t="s">
        <v>4321</v>
      </c>
      <c r="B1813" s="3" t="s">
        <v>1857</v>
      </c>
      <c r="C1813" s="1" t="s">
        <v>1922</v>
      </c>
      <c r="D1813" s="1" t="s">
        <v>6525</v>
      </c>
      <c r="E1813" s="1" t="str">
        <f>"1240"</f>
        <v>1240</v>
      </c>
      <c r="F1813" s="1" t="str">
        <f>"015082073"</f>
        <v>015082073</v>
      </c>
      <c r="G1813" s="1" t="s">
        <v>208</v>
      </c>
      <c r="H1813" s="1" t="s">
        <v>15</v>
      </c>
      <c r="I1813" s="3" t="str">
        <f>"2"</f>
        <v>2</v>
      </c>
      <c r="J1813" s="3" t="str">
        <f>"11500"</f>
        <v>11500</v>
      </c>
      <c r="K1813" s="2">
        <v>45755</v>
      </c>
      <c r="L1813" s="2">
        <v>45880</v>
      </c>
      <c r="M1813" s="1" t="s">
        <v>6524</v>
      </c>
      <c r="N1813" s="1" t="s">
        <v>6523</v>
      </c>
    </row>
    <row r="1814" spans="1:14" x14ac:dyDescent="0.35">
      <c r="A1814" s="1" t="s">
        <v>4321</v>
      </c>
      <c r="B1814" s="3" t="s">
        <v>3885</v>
      </c>
      <c r="C1814" s="1" t="s">
        <v>3901</v>
      </c>
      <c r="D1814" s="1" t="s">
        <v>6522</v>
      </c>
      <c r="E1814" s="1" t="str">
        <f>"8465"</f>
        <v>8465</v>
      </c>
      <c r="F1814" s="1" t="str">
        <f>"016436221"</f>
        <v>016436221</v>
      </c>
      <c r="G1814" s="1" t="s">
        <v>2870</v>
      </c>
      <c r="H1814" s="1" t="s">
        <v>19</v>
      </c>
      <c r="I1814" s="3" t="str">
        <f>"50"</f>
        <v>50</v>
      </c>
      <c r="J1814" s="3">
        <v>11.19</v>
      </c>
      <c r="K1814" s="2">
        <v>45751</v>
      </c>
      <c r="L1814" s="2">
        <v>45880</v>
      </c>
      <c r="M1814" s="1" t="s">
        <v>6521</v>
      </c>
      <c r="N1814" s="1" t="s">
        <v>6520</v>
      </c>
    </row>
    <row r="1815" spans="1:14" x14ac:dyDescent="0.35">
      <c r="A1815" s="1" t="s">
        <v>4321</v>
      </c>
      <c r="B1815" s="3" t="s">
        <v>4087</v>
      </c>
      <c r="C1815" s="1" t="s">
        <v>4143</v>
      </c>
      <c r="D1815" s="1" t="s">
        <v>6519</v>
      </c>
      <c r="E1815" s="1" t="str">
        <f>"5855"</f>
        <v>5855</v>
      </c>
      <c r="F1815" s="1" t="str">
        <f>"015330555"</f>
        <v>015330555</v>
      </c>
      <c r="G1815" s="1" t="s">
        <v>2656</v>
      </c>
      <c r="H1815" s="1" t="s">
        <v>15</v>
      </c>
      <c r="I1815" s="3" t="str">
        <f>"1"</f>
        <v>1</v>
      </c>
      <c r="J1815" s="3" t="str">
        <f>"1800"</f>
        <v>1800</v>
      </c>
      <c r="K1815" s="2">
        <v>45877</v>
      </c>
      <c r="L1815" s="2">
        <v>45879</v>
      </c>
      <c r="M1815" s="1" t="s">
        <v>6518</v>
      </c>
      <c r="N1815" s="1" t="s">
        <v>4343</v>
      </c>
    </row>
    <row r="1816" spans="1:14" x14ac:dyDescent="0.35">
      <c r="A1816" s="1" t="s">
        <v>4321</v>
      </c>
      <c r="B1816" s="3" t="s">
        <v>2720</v>
      </c>
      <c r="C1816" s="1" t="s">
        <v>2897</v>
      </c>
      <c r="D1816" s="1" t="s">
        <v>6517</v>
      </c>
      <c r="E1816" s="1" t="str">
        <f>"5855"</f>
        <v>5855</v>
      </c>
      <c r="F1816" s="1" t="s">
        <v>2918</v>
      </c>
      <c r="G1816" s="1" t="s">
        <v>2919</v>
      </c>
      <c r="H1816" s="1" t="s">
        <v>15</v>
      </c>
      <c r="I1816" s="3" t="str">
        <f>"1"</f>
        <v>1</v>
      </c>
      <c r="J1816" s="3" t="str">
        <f>"6000"</f>
        <v>6000</v>
      </c>
      <c r="K1816" s="2">
        <v>45877</v>
      </c>
      <c r="L1816" s="2">
        <v>45879</v>
      </c>
      <c r="M1816" s="1" t="s">
        <v>2920</v>
      </c>
      <c r="N1816" s="1" t="s">
        <v>4343</v>
      </c>
    </row>
    <row r="1817" spans="1:14" x14ac:dyDescent="0.35">
      <c r="A1817" s="1" t="s">
        <v>4321</v>
      </c>
      <c r="B1817" s="3" t="s">
        <v>2248</v>
      </c>
      <c r="C1817" s="1" t="s">
        <v>2265</v>
      </c>
      <c r="D1817" s="1" t="s">
        <v>6516</v>
      </c>
      <c r="E1817" s="1" t="str">
        <f>"5855"</f>
        <v>5855</v>
      </c>
      <c r="F1817" s="1" t="s">
        <v>2918</v>
      </c>
      <c r="G1817" s="1" t="s">
        <v>2919</v>
      </c>
      <c r="H1817" s="1" t="s">
        <v>15</v>
      </c>
      <c r="I1817" s="3" t="str">
        <f>"1"</f>
        <v>1</v>
      </c>
      <c r="J1817" s="3" t="str">
        <f>"3860"</f>
        <v>3860</v>
      </c>
      <c r="K1817" s="2">
        <v>45877</v>
      </c>
      <c r="L1817" s="2">
        <v>45878</v>
      </c>
      <c r="M1817" s="1" t="s">
        <v>6515</v>
      </c>
      <c r="N1817" s="1" t="s">
        <v>4343</v>
      </c>
    </row>
    <row r="1818" spans="1:14" x14ac:dyDescent="0.35">
      <c r="A1818" s="1" t="s">
        <v>4321</v>
      </c>
      <c r="B1818" s="3" t="s">
        <v>601</v>
      </c>
      <c r="C1818" s="1" t="s">
        <v>667</v>
      </c>
      <c r="D1818" s="1" t="s">
        <v>6514</v>
      </c>
      <c r="E1818" s="1" t="str">
        <f>"6760"</f>
        <v>6760</v>
      </c>
      <c r="F1818" s="1" t="s">
        <v>671</v>
      </c>
      <c r="G1818" s="1" t="s">
        <v>672</v>
      </c>
      <c r="H1818" s="1" t="s">
        <v>15</v>
      </c>
      <c r="I1818" s="3" t="str">
        <f>"2"</f>
        <v>2</v>
      </c>
      <c r="J1818" s="3">
        <v>369.65</v>
      </c>
      <c r="K1818" s="2">
        <v>45876</v>
      </c>
      <c r="L1818" s="2">
        <v>45878</v>
      </c>
      <c r="M1818" s="1" t="s">
        <v>6513</v>
      </c>
      <c r="N1818" s="1" t="s">
        <v>4343</v>
      </c>
    </row>
    <row r="1819" spans="1:14" x14ac:dyDescent="0.35">
      <c r="A1819" s="1" t="s">
        <v>4321</v>
      </c>
      <c r="B1819" s="3" t="s">
        <v>93</v>
      </c>
      <c r="C1819" s="1" t="s">
        <v>369</v>
      </c>
      <c r="D1819" s="1" t="s">
        <v>6512</v>
      </c>
      <c r="E1819" s="1" t="str">
        <f>"2320"</f>
        <v>2320</v>
      </c>
      <c r="F1819" s="1" t="s">
        <v>321</v>
      </c>
      <c r="G1819" s="1" t="s">
        <v>322</v>
      </c>
      <c r="H1819" s="1" t="s">
        <v>15</v>
      </c>
      <c r="I1819" s="3" t="str">
        <f>"1"</f>
        <v>1</v>
      </c>
      <c r="J1819" s="3" t="str">
        <f>"99000"</f>
        <v>99000</v>
      </c>
      <c r="K1819" s="2">
        <v>45875</v>
      </c>
      <c r="L1819" s="2">
        <v>45878</v>
      </c>
      <c r="M1819" s="1" t="s">
        <v>6511</v>
      </c>
      <c r="N1819" s="1" t="s">
        <v>6510</v>
      </c>
    </row>
    <row r="1820" spans="1:14" x14ac:dyDescent="0.35">
      <c r="A1820" s="1" t="s">
        <v>4321</v>
      </c>
      <c r="B1820" s="3" t="s">
        <v>4087</v>
      </c>
      <c r="C1820" s="1" t="s">
        <v>4143</v>
      </c>
      <c r="D1820" s="1" t="s">
        <v>6509</v>
      </c>
      <c r="E1820" s="1" t="str">
        <f>"7920"</f>
        <v>7920</v>
      </c>
      <c r="F1820" s="1" t="str">
        <f>"014541148"</f>
        <v>014541148</v>
      </c>
      <c r="G1820" s="1" t="s">
        <v>6349</v>
      </c>
      <c r="H1820" s="1" t="s">
        <v>290</v>
      </c>
      <c r="I1820" s="3" t="str">
        <f>"1"</f>
        <v>1</v>
      </c>
      <c r="J1820" s="3">
        <v>198.74</v>
      </c>
      <c r="K1820" s="2">
        <v>45875</v>
      </c>
      <c r="L1820" s="2">
        <v>45878</v>
      </c>
      <c r="M1820" s="1" t="s">
        <v>6508</v>
      </c>
      <c r="N1820" s="1" t="s">
        <v>6507</v>
      </c>
    </row>
    <row r="1821" spans="1:14" x14ac:dyDescent="0.35">
      <c r="A1821" s="1" t="s">
        <v>4321</v>
      </c>
      <c r="B1821" s="3" t="s">
        <v>3513</v>
      </c>
      <c r="C1821" s="1" t="s">
        <v>3514</v>
      </c>
      <c r="D1821" s="1" t="s">
        <v>6506</v>
      </c>
      <c r="E1821" s="1" t="str">
        <f>"8340"</f>
        <v>8340</v>
      </c>
      <c r="F1821" s="1" t="str">
        <f>"014487002"</f>
        <v>014487002</v>
      </c>
      <c r="G1821" s="1" t="s">
        <v>6505</v>
      </c>
      <c r="H1821" s="1" t="s">
        <v>15</v>
      </c>
      <c r="I1821" s="3" t="str">
        <f>"2"</f>
        <v>2</v>
      </c>
      <c r="J1821" s="3">
        <v>24.14</v>
      </c>
      <c r="K1821" s="2">
        <v>45874</v>
      </c>
      <c r="L1821" s="2">
        <v>45878</v>
      </c>
      <c r="M1821" s="1" t="s">
        <v>6504</v>
      </c>
      <c r="N1821" s="1" t="s">
        <v>6503</v>
      </c>
    </row>
    <row r="1822" spans="1:14" x14ac:dyDescent="0.35">
      <c r="A1822" s="1" t="s">
        <v>4321</v>
      </c>
      <c r="B1822" s="3" t="s">
        <v>4087</v>
      </c>
      <c r="C1822" s="1" t="s">
        <v>4143</v>
      </c>
      <c r="D1822" s="1" t="s">
        <v>6502</v>
      </c>
      <c r="E1822" s="1" t="str">
        <f>"7520"</f>
        <v>7520</v>
      </c>
      <c r="F1822" s="1" t="str">
        <f>"016911540"</f>
        <v>016911540</v>
      </c>
      <c r="G1822" s="1" t="s">
        <v>6501</v>
      </c>
      <c r="H1822" s="1" t="s">
        <v>15</v>
      </c>
      <c r="I1822" s="3" t="str">
        <f>"5"</f>
        <v>5</v>
      </c>
      <c r="J1822" s="3">
        <v>18.940000000000001</v>
      </c>
      <c r="K1822" s="2">
        <v>45874</v>
      </c>
      <c r="L1822" s="2">
        <v>45878</v>
      </c>
      <c r="M1822" s="1" t="s">
        <v>6500</v>
      </c>
      <c r="N1822" s="1" t="s">
        <v>6499</v>
      </c>
    </row>
    <row r="1823" spans="1:14" x14ac:dyDescent="0.35">
      <c r="A1823" s="1" t="s">
        <v>4321</v>
      </c>
      <c r="B1823" s="3" t="s">
        <v>806</v>
      </c>
      <c r="C1823" s="1" t="s">
        <v>1079</v>
      </c>
      <c r="D1823" s="1" t="s">
        <v>6498</v>
      </c>
      <c r="E1823" s="1" t="str">
        <f>"4240"</f>
        <v>4240</v>
      </c>
      <c r="F1823" s="1" t="str">
        <f>"015298804"</f>
        <v>015298804</v>
      </c>
      <c r="G1823" s="1" t="s">
        <v>6497</v>
      </c>
      <c r="H1823" s="1" t="s">
        <v>15</v>
      </c>
      <c r="I1823" s="3" t="str">
        <f>"5"</f>
        <v>5</v>
      </c>
      <c r="J1823" s="3">
        <v>501.97</v>
      </c>
      <c r="K1823" s="2">
        <v>45874</v>
      </c>
      <c r="L1823" s="2">
        <v>45878</v>
      </c>
      <c r="M1823" s="1" t="s">
        <v>6496</v>
      </c>
      <c r="N1823" s="1" t="s">
        <v>6495</v>
      </c>
    </row>
    <row r="1824" spans="1:14" x14ac:dyDescent="0.35">
      <c r="A1824" s="1" t="s">
        <v>4321</v>
      </c>
      <c r="B1824" s="3" t="s">
        <v>1317</v>
      </c>
      <c r="C1824" s="1" t="s">
        <v>1381</v>
      </c>
      <c r="D1824" s="1" t="s">
        <v>6494</v>
      </c>
      <c r="E1824" s="1" t="str">
        <f>"5140"</f>
        <v>5140</v>
      </c>
      <c r="F1824" s="1" t="str">
        <f>"015808259"</f>
        <v>015808259</v>
      </c>
      <c r="G1824" s="1" t="s">
        <v>1168</v>
      </c>
      <c r="H1824" s="1" t="s">
        <v>15</v>
      </c>
      <c r="I1824" s="3" t="str">
        <f>"5"</f>
        <v>5</v>
      </c>
      <c r="J1824" s="3">
        <v>903.04</v>
      </c>
      <c r="K1824" s="2">
        <v>45873</v>
      </c>
      <c r="L1824" s="2">
        <v>45878</v>
      </c>
      <c r="M1824" s="1" t="s">
        <v>6493</v>
      </c>
      <c r="N1824" s="1" t="s">
        <v>6492</v>
      </c>
    </row>
    <row r="1825" spans="1:14" x14ac:dyDescent="0.35">
      <c r="A1825" s="1" t="s">
        <v>4321</v>
      </c>
      <c r="B1825" s="3" t="s">
        <v>2000</v>
      </c>
      <c r="C1825" s="1" t="s">
        <v>2078</v>
      </c>
      <c r="D1825" s="1" t="s">
        <v>6491</v>
      </c>
      <c r="E1825" s="1" t="str">
        <f>"4210"</f>
        <v>4210</v>
      </c>
      <c r="F1825" s="1" t="str">
        <f>"013242734"</f>
        <v>013242734</v>
      </c>
      <c r="G1825" s="1" t="s">
        <v>3540</v>
      </c>
      <c r="H1825" s="1" t="s">
        <v>15</v>
      </c>
      <c r="I1825" s="3" t="str">
        <f>"5"</f>
        <v>5</v>
      </c>
      <c r="J1825" s="3">
        <v>82.79</v>
      </c>
      <c r="K1825" s="2">
        <v>45873</v>
      </c>
      <c r="L1825" s="2">
        <v>45878</v>
      </c>
      <c r="M1825" s="1" t="s">
        <v>6490</v>
      </c>
      <c r="N1825" s="1" t="s">
        <v>6489</v>
      </c>
    </row>
    <row r="1826" spans="1:14" x14ac:dyDescent="0.35">
      <c r="A1826" s="1" t="s">
        <v>4321</v>
      </c>
      <c r="B1826" s="3" t="s">
        <v>93</v>
      </c>
      <c r="C1826" s="1" t="s">
        <v>6488</v>
      </c>
      <c r="D1826" s="1" t="s">
        <v>6487</v>
      </c>
      <c r="E1826" s="1" t="str">
        <f>"4320"</f>
        <v>4320</v>
      </c>
      <c r="F1826" s="1" t="str">
        <f>"014174876"</f>
        <v>014174876</v>
      </c>
      <c r="G1826" s="1" t="s">
        <v>6486</v>
      </c>
      <c r="H1826" s="1" t="s">
        <v>15</v>
      </c>
      <c r="I1826" s="3" t="str">
        <f>"1"</f>
        <v>1</v>
      </c>
      <c r="J1826" s="3">
        <v>572.91999999999996</v>
      </c>
      <c r="K1826" s="2">
        <v>45872</v>
      </c>
      <c r="L1826" s="2">
        <v>45878</v>
      </c>
      <c r="M1826" s="1" t="s">
        <v>6485</v>
      </c>
      <c r="N1826" s="1" t="s">
        <v>6484</v>
      </c>
    </row>
    <row r="1827" spans="1:14" x14ac:dyDescent="0.35">
      <c r="A1827" s="1" t="s">
        <v>4321</v>
      </c>
      <c r="B1827" s="3" t="s">
        <v>2000</v>
      </c>
      <c r="C1827" s="1" t="s">
        <v>2065</v>
      </c>
      <c r="D1827" s="1" t="s">
        <v>6483</v>
      </c>
      <c r="E1827" s="1" t="str">
        <f>"5855"</f>
        <v>5855</v>
      </c>
      <c r="F1827" s="1" t="str">
        <f>"013025493"</f>
        <v>013025493</v>
      </c>
      <c r="G1827" s="1" t="s">
        <v>6482</v>
      </c>
      <c r="H1827" s="1" t="s">
        <v>15</v>
      </c>
      <c r="I1827" s="3" t="str">
        <f>"1"</f>
        <v>1</v>
      </c>
      <c r="J1827" s="3" t="str">
        <f>"4107"</f>
        <v>4107</v>
      </c>
      <c r="K1827" s="2">
        <v>45872</v>
      </c>
      <c r="L1827" s="2">
        <v>45878</v>
      </c>
      <c r="M1827" s="1" t="s">
        <v>2067</v>
      </c>
      <c r="N1827" s="1" t="s">
        <v>6481</v>
      </c>
    </row>
    <row r="1828" spans="1:14" x14ac:dyDescent="0.35">
      <c r="A1828" s="1" t="s">
        <v>4321</v>
      </c>
      <c r="B1828" s="3" t="s">
        <v>93</v>
      </c>
      <c r="C1828" s="1" t="s">
        <v>203</v>
      </c>
      <c r="D1828" s="1" t="s">
        <v>6480</v>
      </c>
      <c r="E1828" s="1" t="str">
        <f>"6920"</f>
        <v>6920</v>
      </c>
      <c r="F1828" s="1" t="s">
        <v>2759</v>
      </c>
      <c r="G1828" s="1" t="s">
        <v>2760</v>
      </c>
      <c r="H1828" s="1" t="s">
        <v>15</v>
      </c>
      <c r="I1828" s="3" t="str">
        <f>"20"</f>
        <v>20</v>
      </c>
      <c r="J1828" s="3" t="str">
        <f>"50"</f>
        <v>50</v>
      </c>
      <c r="K1828" s="2">
        <v>45869</v>
      </c>
      <c r="L1828" s="2">
        <v>45878</v>
      </c>
      <c r="M1828" s="1" t="s">
        <v>6479</v>
      </c>
      <c r="N1828" s="1" t="s">
        <v>4343</v>
      </c>
    </row>
    <row r="1829" spans="1:14" x14ac:dyDescent="0.35">
      <c r="A1829" s="1" t="s">
        <v>4321</v>
      </c>
      <c r="B1829" s="3" t="s">
        <v>93</v>
      </c>
      <c r="C1829" s="1" t="s">
        <v>403</v>
      </c>
      <c r="D1829" s="1" t="s">
        <v>6478</v>
      </c>
      <c r="E1829" s="1" t="str">
        <f>"6920"</f>
        <v>6920</v>
      </c>
      <c r="F1829" s="1" t="s">
        <v>2759</v>
      </c>
      <c r="G1829" s="1" t="s">
        <v>2760</v>
      </c>
      <c r="H1829" s="1" t="s">
        <v>15</v>
      </c>
      <c r="I1829" s="3" t="str">
        <f>"20"</f>
        <v>20</v>
      </c>
      <c r="J1829" s="3" t="str">
        <f>"50"</f>
        <v>50</v>
      </c>
      <c r="K1829" s="2">
        <v>45868</v>
      </c>
      <c r="L1829" s="2">
        <v>45878</v>
      </c>
      <c r="M1829" s="1" t="s">
        <v>6477</v>
      </c>
      <c r="N1829" s="1" t="s">
        <v>4343</v>
      </c>
    </row>
    <row r="1830" spans="1:14" x14ac:dyDescent="0.35">
      <c r="A1830" s="1" t="s">
        <v>4321</v>
      </c>
      <c r="B1830" s="3" t="s">
        <v>1857</v>
      </c>
      <c r="C1830" s="1" t="s">
        <v>5863</v>
      </c>
      <c r="D1830" s="1" t="s">
        <v>6476</v>
      </c>
      <c r="E1830" s="1" t="str">
        <f>"8465"</f>
        <v>8465</v>
      </c>
      <c r="F1830" s="1" t="str">
        <f>"016036613"</f>
        <v>016036613</v>
      </c>
      <c r="G1830" s="1" t="s">
        <v>804</v>
      </c>
      <c r="H1830" s="1" t="s">
        <v>15</v>
      </c>
      <c r="I1830" s="3" t="str">
        <f>"40"</f>
        <v>40</v>
      </c>
      <c r="J1830" s="3">
        <v>411.37</v>
      </c>
      <c r="K1830" s="2">
        <v>45866</v>
      </c>
      <c r="L1830" s="2">
        <v>45878</v>
      </c>
      <c r="M1830" s="1" t="s">
        <v>6475</v>
      </c>
      <c r="N1830" s="1" t="s">
        <v>4343</v>
      </c>
    </row>
    <row r="1831" spans="1:14" x14ac:dyDescent="0.35">
      <c r="A1831" s="1" t="s">
        <v>4321</v>
      </c>
      <c r="B1831" s="3" t="s">
        <v>3105</v>
      </c>
      <c r="C1831" s="1" t="s">
        <v>6474</v>
      </c>
      <c r="D1831" s="1" t="s">
        <v>6473</v>
      </c>
      <c r="E1831" s="1" t="str">
        <f>"7025"</f>
        <v>7025</v>
      </c>
      <c r="F1831" s="1" t="s">
        <v>2323</v>
      </c>
      <c r="G1831" s="1" t="s">
        <v>2324</v>
      </c>
      <c r="H1831" s="1" t="s">
        <v>15</v>
      </c>
      <c r="I1831" s="3" t="str">
        <f>"18"</f>
        <v>18</v>
      </c>
      <c r="J1831" s="3" t="str">
        <f>"370"</f>
        <v>370</v>
      </c>
      <c r="K1831" s="2">
        <v>45877</v>
      </c>
      <c r="L1831" s="2">
        <v>45877</v>
      </c>
      <c r="M1831" s="1" t="s">
        <v>6472</v>
      </c>
      <c r="N1831" s="1" t="s">
        <v>4343</v>
      </c>
    </row>
    <row r="1832" spans="1:14" x14ac:dyDescent="0.35">
      <c r="A1832" s="1" t="s">
        <v>4321</v>
      </c>
      <c r="B1832" s="3" t="s">
        <v>3105</v>
      </c>
      <c r="C1832" s="1" t="s">
        <v>5808</v>
      </c>
      <c r="D1832" s="1" t="s">
        <v>6471</v>
      </c>
      <c r="E1832" s="1" t="str">
        <f>"7025"</f>
        <v>7025</v>
      </c>
      <c r="F1832" s="1" t="s">
        <v>2323</v>
      </c>
      <c r="G1832" s="1" t="s">
        <v>2324</v>
      </c>
      <c r="H1832" s="1" t="s">
        <v>15</v>
      </c>
      <c r="I1832" s="3" t="str">
        <f>"10"</f>
        <v>10</v>
      </c>
      <c r="J1832" s="3" t="str">
        <f>"370"</f>
        <v>370</v>
      </c>
      <c r="K1832" s="2">
        <v>45877</v>
      </c>
      <c r="L1832" s="2">
        <v>45877</v>
      </c>
      <c r="M1832" s="1" t="s">
        <v>6470</v>
      </c>
      <c r="N1832" s="1" t="s">
        <v>4343</v>
      </c>
    </row>
    <row r="1833" spans="1:14" x14ac:dyDescent="0.35">
      <c r="A1833" s="1" t="s">
        <v>4321</v>
      </c>
      <c r="B1833" s="3" t="s">
        <v>3105</v>
      </c>
      <c r="C1833" s="1" t="s">
        <v>5808</v>
      </c>
      <c r="D1833" s="1" t="s">
        <v>6469</v>
      </c>
      <c r="E1833" s="1" t="str">
        <f>"7025"</f>
        <v>7025</v>
      </c>
      <c r="F1833" s="1" t="s">
        <v>2323</v>
      </c>
      <c r="G1833" s="1" t="s">
        <v>2324</v>
      </c>
      <c r="H1833" s="1" t="s">
        <v>15</v>
      </c>
      <c r="I1833" s="3" t="str">
        <f>"2"</f>
        <v>2</v>
      </c>
      <c r="J1833" s="3" t="str">
        <f>"370"</f>
        <v>370</v>
      </c>
      <c r="K1833" s="2">
        <v>45877</v>
      </c>
      <c r="L1833" s="2">
        <v>45877</v>
      </c>
      <c r="M1833" s="1" t="s">
        <v>6468</v>
      </c>
      <c r="N1833" s="1" t="s">
        <v>4343</v>
      </c>
    </row>
    <row r="1834" spans="1:14" x14ac:dyDescent="0.35">
      <c r="A1834" s="1" t="s">
        <v>4321</v>
      </c>
      <c r="B1834" s="3" t="s">
        <v>2720</v>
      </c>
      <c r="C1834" s="1" t="s">
        <v>2897</v>
      </c>
      <c r="D1834" s="1" t="s">
        <v>6467</v>
      </c>
      <c r="E1834" s="1" t="str">
        <f>"5805"</f>
        <v>5805</v>
      </c>
      <c r="F1834" s="1" t="s">
        <v>6466</v>
      </c>
      <c r="G1834" s="1" t="s">
        <v>6465</v>
      </c>
      <c r="H1834" s="1" t="s">
        <v>15</v>
      </c>
      <c r="I1834" s="3" t="str">
        <f>"23"</f>
        <v>23</v>
      </c>
      <c r="J1834" s="3" t="str">
        <f>"560"</f>
        <v>560</v>
      </c>
      <c r="K1834" s="2">
        <v>45877</v>
      </c>
      <c r="L1834" s="2">
        <v>45877</v>
      </c>
      <c r="M1834" s="1" t="s">
        <v>6464</v>
      </c>
      <c r="N1834" s="1" t="s">
        <v>4343</v>
      </c>
    </row>
    <row r="1835" spans="1:14" x14ac:dyDescent="0.35">
      <c r="A1835" s="1" t="s">
        <v>4321</v>
      </c>
      <c r="B1835" s="3" t="s">
        <v>2720</v>
      </c>
      <c r="C1835" s="1" t="s">
        <v>2897</v>
      </c>
      <c r="D1835" s="1" t="s">
        <v>6463</v>
      </c>
      <c r="E1835" s="1" t="str">
        <f>"1550"</f>
        <v>1550</v>
      </c>
      <c r="F1835" s="1" t="str">
        <f>"016215533"</f>
        <v>016215533</v>
      </c>
      <c r="G1835" s="1" t="s">
        <v>2334</v>
      </c>
      <c r="H1835" s="1" t="s">
        <v>15</v>
      </c>
      <c r="I1835" s="3" t="str">
        <f>"1"</f>
        <v>1</v>
      </c>
      <c r="J1835" s="3" t="str">
        <f>"168000"</f>
        <v>168000</v>
      </c>
      <c r="K1835" s="2">
        <v>45875</v>
      </c>
      <c r="L1835" s="2">
        <v>45877</v>
      </c>
      <c r="M1835" s="1" t="s">
        <v>6387</v>
      </c>
      <c r="N1835" s="1" t="s">
        <v>4343</v>
      </c>
    </row>
    <row r="1836" spans="1:14" x14ac:dyDescent="0.35">
      <c r="A1836" s="1" t="s">
        <v>4321</v>
      </c>
      <c r="B1836" s="3" t="s">
        <v>2720</v>
      </c>
      <c r="C1836" s="1" t="s">
        <v>2897</v>
      </c>
      <c r="D1836" s="1" t="s">
        <v>6462</v>
      </c>
      <c r="E1836" s="1" t="str">
        <f>"1550"</f>
        <v>1550</v>
      </c>
      <c r="F1836" s="1" t="str">
        <f>"016215533"</f>
        <v>016215533</v>
      </c>
      <c r="G1836" s="1" t="s">
        <v>2334</v>
      </c>
      <c r="H1836" s="1" t="s">
        <v>15</v>
      </c>
      <c r="I1836" s="3" t="str">
        <f>"1"</f>
        <v>1</v>
      </c>
      <c r="J1836" s="3" t="str">
        <f>"168000"</f>
        <v>168000</v>
      </c>
      <c r="K1836" s="2">
        <v>45875</v>
      </c>
      <c r="L1836" s="2">
        <v>45877</v>
      </c>
      <c r="M1836" s="1" t="s">
        <v>6387</v>
      </c>
      <c r="N1836" s="1" t="s">
        <v>4343</v>
      </c>
    </row>
    <row r="1837" spans="1:14" x14ac:dyDescent="0.35">
      <c r="A1837" s="1" t="s">
        <v>4321</v>
      </c>
      <c r="B1837" s="3" t="s">
        <v>2720</v>
      </c>
      <c r="C1837" s="1" t="s">
        <v>2897</v>
      </c>
      <c r="D1837" s="1" t="s">
        <v>6461</v>
      </c>
      <c r="E1837" s="1" t="str">
        <f>"1550"</f>
        <v>1550</v>
      </c>
      <c r="F1837" s="1" t="str">
        <f>"016215533"</f>
        <v>016215533</v>
      </c>
      <c r="G1837" s="1" t="s">
        <v>2334</v>
      </c>
      <c r="H1837" s="1" t="s">
        <v>15</v>
      </c>
      <c r="I1837" s="3" t="str">
        <f>"1"</f>
        <v>1</v>
      </c>
      <c r="J1837" s="3" t="str">
        <f>"168000"</f>
        <v>168000</v>
      </c>
      <c r="K1837" s="2">
        <v>45875</v>
      </c>
      <c r="L1837" s="2">
        <v>45877</v>
      </c>
      <c r="M1837" s="1" t="s">
        <v>6387</v>
      </c>
      <c r="N1837" s="1" t="s">
        <v>4343</v>
      </c>
    </row>
    <row r="1838" spans="1:14" x14ac:dyDescent="0.35">
      <c r="A1838" s="1" t="s">
        <v>4321</v>
      </c>
      <c r="B1838" s="3" t="s">
        <v>601</v>
      </c>
      <c r="C1838" s="1" t="s">
        <v>664</v>
      </c>
      <c r="D1838" s="1" t="s">
        <v>6460</v>
      </c>
      <c r="E1838" s="1" t="str">
        <f>"2340"</f>
        <v>2340</v>
      </c>
      <c r="F1838" s="1" t="s">
        <v>647</v>
      </c>
      <c r="G1838" s="1" t="s">
        <v>648</v>
      </c>
      <c r="H1838" s="1" t="s">
        <v>15</v>
      </c>
      <c r="I1838" s="3" t="str">
        <f>"1"</f>
        <v>1</v>
      </c>
      <c r="J1838" s="3">
        <v>9330.44</v>
      </c>
      <c r="K1838" s="2">
        <v>45874</v>
      </c>
      <c r="L1838" s="2">
        <v>45877</v>
      </c>
      <c r="M1838" s="1" t="s">
        <v>6459</v>
      </c>
      <c r="N1838" s="1" t="s">
        <v>4343</v>
      </c>
    </row>
    <row r="1839" spans="1:14" x14ac:dyDescent="0.35">
      <c r="A1839" s="1" t="s">
        <v>4321</v>
      </c>
      <c r="B1839" s="3" t="s">
        <v>601</v>
      </c>
      <c r="C1839" s="1" t="s">
        <v>602</v>
      </c>
      <c r="D1839" s="1" t="s">
        <v>6458</v>
      </c>
      <c r="E1839" s="1" t="str">
        <f>"6545"</f>
        <v>6545</v>
      </c>
      <c r="F1839" s="1" t="str">
        <f>"016899365"</f>
        <v>016899365</v>
      </c>
      <c r="G1839" s="1" t="s">
        <v>3594</v>
      </c>
      <c r="H1839" s="1" t="s">
        <v>19</v>
      </c>
      <c r="I1839" s="3" t="str">
        <f>"10"</f>
        <v>10</v>
      </c>
      <c r="J1839" s="3">
        <v>4900.5200000000004</v>
      </c>
      <c r="K1839" s="2">
        <v>45873</v>
      </c>
      <c r="L1839" s="2">
        <v>45877</v>
      </c>
      <c r="M1839" s="1" t="s">
        <v>6457</v>
      </c>
      <c r="N1839" s="1" t="s">
        <v>6456</v>
      </c>
    </row>
    <row r="1840" spans="1:14" x14ac:dyDescent="0.35">
      <c r="A1840" s="1" t="s">
        <v>4321</v>
      </c>
      <c r="B1840" s="3" t="s">
        <v>806</v>
      </c>
      <c r="C1840" s="1" t="s">
        <v>6455</v>
      </c>
      <c r="D1840" s="1" t="s">
        <v>6454</v>
      </c>
      <c r="E1840" s="1" t="str">
        <f>"8150"</f>
        <v>8150</v>
      </c>
      <c r="F1840" s="1" t="str">
        <f>"014638555"</f>
        <v>014638555</v>
      </c>
      <c r="G1840" s="1" t="s">
        <v>448</v>
      </c>
      <c r="H1840" s="1" t="s">
        <v>15</v>
      </c>
      <c r="I1840" s="3" t="str">
        <f>"2"</f>
        <v>2</v>
      </c>
      <c r="J1840" s="3">
        <v>11480.33</v>
      </c>
      <c r="K1840" s="2">
        <v>45873</v>
      </c>
      <c r="L1840" s="2">
        <v>45877</v>
      </c>
      <c r="M1840" s="1" t="s">
        <v>6453</v>
      </c>
      <c r="N1840" s="1" t="s">
        <v>4343</v>
      </c>
    </row>
    <row r="1841" spans="1:14" x14ac:dyDescent="0.35">
      <c r="A1841" s="1" t="s">
        <v>4321</v>
      </c>
      <c r="B1841" s="3" t="s">
        <v>3183</v>
      </c>
      <c r="C1841" s="1" t="s">
        <v>3376</v>
      </c>
      <c r="D1841" s="1" t="s">
        <v>6452</v>
      </c>
      <c r="E1841" s="1" t="str">
        <f>"6230"</f>
        <v>6230</v>
      </c>
      <c r="F1841" s="1" t="str">
        <f>"003028076"</f>
        <v>003028076</v>
      </c>
      <c r="G1841" s="1" t="s">
        <v>3406</v>
      </c>
      <c r="H1841" s="1" t="s">
        <v>15</v>
      </c>
      <c r="I1841" s="3" t="str">
        <f>"25"</f>
        <v>25</v>
      </c>
      <c r="J1841" s="3">
        <v>118.38</v>
      </c>
      <c r="K1841" s="2">
        <v>45873</v>
      </c>
      <c r="L1841" s="2">
        <v>45877</v>
      </c>
      <c r="M1841" s="1" t="s">
        <v>3407</v>
      </c>
      <c r="N1841" s="1" t="s">
        <v>6451</v>
      </c>
    </row>
    <row r="1842" spans="1:14" x14ac:dyDescent="0.35">
      <c r="A1842" s="1" t="s">
        <v>4321</v>
      </c>
      <c r="B1842" s="3" t="s">
        <v>806</v>
      </c>
      <c r="C1842" s="1" t="s">
        <v>866</v>
      </c>
      <c r="D1842" s="1" t="s">
        <v>6450</v>
      </c>
      <c r="E1842" s="1" t="str">
        <f>"6545"</f>
        <v>6545</v>
      </c>
      <c r="F1842" s="1" t="str">
        <f>"009221200"</f>
        <v>009221200</v>
      </c>
      <c r="G1842" s="1" t="s">
        <v>6449</v>
      </c>
      <c r="H1842" s="1" t="s">
        <v>19</v>
      </c>
      <c r="I1842" s="3" t="str">
        <f>"7"</f>
        <v>7</v>
      </c>
      <c r="J1842" s="3">
        <v>93.21</v>
      </c>
      <c r="K1842" s="2">
        <v>45870</v>
      </c>
      <c r="L1842" s="2">
        <v>45877</v>
      </c>
      <c r="M1842" s="1" t="s">
        <v>6448</v>
      </c>
      <c r="N1842" s="1" t="s">
        <v>6447</v>
      </c>
    </row>
    <row r="1843" spans="1:14" x14ac:dyDescent="0.35">
      <c r="A1843" s="1" t="s">
        <v>4321</v>
      </c>
      <c r="B1843" s="3" t="s">
        <v>1317</v>
      </c>
      <c r="C1843" s="1" t="s">
        <v>6446</v>
      </c>
      <c r="D1843" s="1" t="s">
        <v>6445</v>
      </c>
      <c r="E1843" s="1" t="str">
        <f>"4240"</f>
        <v>4240</v>
      </c>
      <c r="F1843" s="1" t="str">
        <f>"015803054"</f>
        <v>015803054</v>
      </c>
      <c r="G1843" s="1" t="s">
        <v>2664</v>
      </c>
      <c r="H1843" s="1" t="s">
        <v>15</v>
      </c>
      <c r="I1843" s="3" t="str">
        <f>"4"</f>
        <v>4</v>
      </c>
      <c r="J1843" s="3">
        <v>382.4</v>
      </c>
      <c r="K1843" s="2">
        <v>45868</v>
      </c>
      <c r="L1843" s="2">
        <v>45877</v>
      </c>
      <c r="M1843" s="1" t="s">
        <v>6444</v>
      </c>
      <c r="N1843" s="1" t="s">
        <v>6443</v>
      </c>
    </row>
    <row r="1844" spans="1:14" x14ac:dyDescent="0.35">
      <c r="A1844" s="1" t="s">
        <v>4321</v>
      </c>
      <c r="B1844" s="3" t="s">
        <v>3183</v>
      </c>
      <c r="C1844" s="1" t="s">
        <v>3184</v>
      </c>
      <c r="D1844" s="1" t="s">
        <v>6442</v>
      </c>
      <c r="E1844" s="1" t="str">
        <f>"5855"</f>
        <v>5855</v>
      </c>
      <c r="F1844" s="1" t="str">
        <f>"015264703"</f>
        <v>015264703</v>
      </c>
      <c r="G1844" s="1" t="s">
        <v>1953</v>
      </c>
      <c r="H1844" s="1" t="s">
        <v>15</v>
      </c>
      <c r="I1844" s="3" t="str">
        <f>"1"</f>
        <v>1</v>
      </c>
      <c r="J1844" s="3">
        <v>10100.040000000001</v>
      </c>
      <c r="K1844" s="2">
        <v>45866</v>
      </c>
      <c r="L1844" s="2">
        <v>45877</v>
      </c>
      <c r="M1844" s="1" t="s">
        <v>3217</v>
      </c>
      <c r="N1844" s="1" t="s">
        <v>6441</v>
      </c>
    </row>
    <row r="1845" spans="1:14" x14ac:dyDescent="0.35">
      <c r="A1845" s="1" t="s">
        <v>4321</v>
      </c>
      <c r="B1845" s="3" t="s">
        <v>2000</v>
      </c>
      <c r="C1845" s="1" t="s">
        <v>2027</v>
      </c>
      <c r="D1845" s="1" t="s">
        <v>6440</v>
      </c>
      <c r="E1845" s="1" t="str">
        <f>"5855"</f>
        <v>5855</v>
      </c>
      <c r="F1845" s="1" t="str">
        <f>"015264703"</f>
        <v>015264703</v>
      </c>
      <c r="G1845" s="1" t="s">
        <v>1953</v>
      </c>
      <c r="H1845" s="1" t="s">
        <v>15</v>
      </c>
      <c r="I1845" s="3" t="str">
        <f>"1"</f>
        <v>1</v>
      </c>
      <c r="J1845" s="3">
        <v>10100.040000000001</v>
      </c>
      <c r="K1845" s="2">
        <v>45866</v>
      </c>
      <c r="L1845" s="2">
        <v>45877</v>
      </c>
      <c r="M1845" s="1" t="s">
        <v>6069</v>
      </c>
      <c r="N1845" s="1" t="s">
        <v>6439</v>
      </c>
    </row>
    <row r="1846" spans="1:14" x14ac:dyDescent="0.35">
      <c r="A1846" s="1" t="s">
        <v>4321</v>
      </c>
      <c r="B1846" s="3" t="s">
        <v>3513</v>
      </c>
      <c r="C1846" s="1" t="s">
        <v>3514</v>
      </c>
      <c r="D1846" s="1" t="s">
        <v>6438</v>
      </c>
      <c r="E1846" s="1" t="str">
        <f>"2320"</f>
        <v>2320</v>
      </c>
      <c r="F1846" s="1" t="s">
        <v>274</v>
      </c>
      <c r="G1846" s="1" t="s">
        <v>275</v>
      </c>
      <c r="H1846" s="1" t="s">
        <v>15</v>
      </c>
      <c r="I1846" s="3" t="str">
        <f>"1"</f>
        <v>1</v>
      </c>
      <c r="J1846" s="3" t="str">
        <f>"30000"</f>
        <v>30000</v>
      </c>
      <c r="K1846" s="2">
        <v>45864</v>
      </c>
      <c r="L1846" s="2">
        <v>45877</v>
      </c>
      <c r="M1846" s="1" t="s">
        <v>3526</v>
      </c>
      <c r="N1846" s="1" t="s">
        <v>6437</v>
      </c>
    </row>
    <row r="1847" spans="1:14" x14ac:dyDescent="0.35">
      <c r="A1847" s="1" t="s">
        <v>4321</v>
      </c>
      <c r="B1847" s="3" t="s">
        <v>1857</v>
      </c>
      <c r="C1847" s="1" t="s">
        <v>1869</v>
      </c>
      <c r="D1847" s="1" t="s">
        <v>6436</v>
      </c>
      <c r="E1847" s="1" t="str">
        <f>"2320"</f>
        <v>2320</v>
      </c>
      <c r="F1847" s="1" t="s">
        <v>274</v>
      </c>
      <c r="G1847" s="1" t="s">
        <v>275</v>
      </c>
      <c r="H1847" s="1" t="s">
        <v>15</v>
      </c>
      <c r="I1847" s="3" t="str">
        <f>"1"</f>
        <v>1</v>
      </c>
      <c r="J1847" s="3" t="str">
        <f>"30000"</f>
        <v>30000</v>
      </c>
      <c r="K1847" s="2">
        <v>45864</v>
      </c>
      <c r="L1847" s="2">
        <v>45877</v>
      </c>
      <c r="M1847" s="1" t="s">
        <v>6435</v>
      </c>
      <c r="N1847" s="1" t="s">
        <v>6434</v>
      </c>
    </row>
    <row r="1848" spans="1:14" x14ac:dyDescent="0.35">
      <c r="A1848" s="1" t="s">
        <v>4321</v>
      </c>
      <c r="B1848" s="3" t="s">
        <v>2145</v>
      </c>
      <c r="C1848" s="1" t="s">
        <v>2153</v>
      </c>
      <c r="D1848" s="1" t="s">
        <v>6433</v>
      </c>
      <c r="E1848" s="1" t="str">
        <f>"2320"</f>
        <v>2320</v>
      </c>
      <c r="F1848" s="1" t="s">
        <v>274</v>
      </c>
      <c r="G1848" s="1" t="s">
        <v>275</v>
      </c>
      <c r="H1848" s="1" t="s">
        <v>15</v>
      </c>
      <c r="I1848" s="3" t="str">
        <f>"1"</f>
        <v>1</v>
      </c>
      <c r="J1848" s="3" t="str">
        <f>"30000"</f>
        <v>30000</v>
      </c>
      <c r="K1848" s="2">
        <v>45864</v>
      </c>
      <c r="L1848" s="2">
        <v>45877</v>
      </c>
      <c r="M1848" s="1" t="s">
        <v>6432</v>
      </c>
      <c r="N1848" s="1" t="s">
        <v>6431</v>
      </c>
    </row>
    <row r="1849" spans="1:14" x14ac:dyDescent="0.35">
      <c r="A1849" s="1" t="s">
        <v>4321</v>
      </c>
      <c r="B1849" s="3" t="s">
        <v>93</v>
      </c>
      <c r="C1849" s="1" t="s">
        <v>319</v>
      </c>
      <c r="D1849" s="1" t="s">
        <v>6430</v>
      </c>
      <c r="E1849" s="1" t="str">
        <f>"2320"</f>
        <v>2320</v>
      </c>
      <c r="F1849" s="1" t="str">
        <f>"010539398"</f>
        <v>010539398</v>
      </c>
      <c r="G1849" s="1" t="s">
        <v>1448</v>
      </c>
      <c r="H1849" s="1" t="s">
        <v>15</v>
      </c>
      <c r="I1849" s="3" t="str">
        <f>"1"</f>
        <v>1</v>
      </c>
      <c r="J1849" s="3" t="str">
        <f>"29693"</f>
        <v>29693</v>
      </c>
      <c r="K1849" s="2">
        <v>45864</v>
      </c>
      <c r="L1849" s="2">
        <v>45877</v>
      </c>
      <c r="M1849" s="1" t="s">
        <v>6429</v>
      </c>
      <c r="N1849" s="1" t="s">
        <v>6428</v>
      </c>
    </row>
    <row r="1850" spans="1:14" x14ac:dyDescent="0.35">
      <c r="A1850" s="1" t="s">
        <v>4321</v>
      </c>
      <c r="B1850" s="3" t="s">
        <v>1699</v>
      </c>
      <c r="C1850" s="1" t="s">
        <v>1818</v>
      </c>
      <c r="D1850" s="1" t="s">
        <v>6427</v>
      </c>
      <c r="E1850" s="1" t="str">
        <f>"2320"</f>
        <v>2320</v>
      </c>
      <c r="F1850" s="1" t="s">
        <v>274</v>
      </c>
      <c r="G1850" s="1" t="s">
        <v>275</v>
      </c>
      <c r="H1850" s="1" t="s">
        <v>15</v>
      </c>
      <c r="I1850" s="3" t="str">
        <f>"1"</f>
        <v>1</v>
      </c>
      <c r="J1850" s="3" t="str">
        <f>"30000"</f>
        <v>30000</v>
      </c>
      <c r="K1850" s="2">
        <v>45864</v>
      </c>
      <c r="L1850" s="2">
        <v>45877</v>
      </c>
      <c r="M1850" s="1" t="s">
        <v>1823</v>
      </c>
      <c r="N1850" s="1" t="s">
        <v>6426</v>
      </c>
    </row>
    <row r="1851" spans="1:14" x14ac:dyDescent="0.35">
      <c r="A1851" s="1" t="s">
        <v>4321</v>
      </c>
      <c r="B1851" s="3" t="s">
        <v>806</v>
      </c>
      <c r="C1851" s="1" t="s">
        <v>1000</v>
      </c>
      <c r="D1851" s="1" t="s">
        <v>6425</v>
      </c>
      <c r="E1851" s="1" t="str">
        <f>"8305"</f>
        <v>8305</v>
      </c>
      <c r="F1851" s="1" t="str">
        <f>"001911101"</f>
        <v>001911101</v>
      </c>
      <c r="G1851" s="1" t="s">
        <v>6424</v>
      </c>
      <c r="H1851" s="1" t="s">
        <v>6423</v>
      </c>
      <c r="I1851" s="3" t="str">
        <f>"10"</f>
        <v>10</v>
      </c>
      <c r="J1851" s="3">
        <v>10.88</v>
      </c>
      <c r="K1851" s="2">
        <v>45863</v>
      </c>
      <c r="L1851" s="2">
        <v>45877</v>
      </c>
      <c r="M1851" s="1" t="s">
        <v>6422</v>
      </c>
      <c r="N1851" s="1" t="s">
        <v>6421</v>
      </c>
    </row>
    <row r="1852" spans="1:14" x14ac:dyDescent="0.35">
      <c r="A1852" s="1" t="s">
        <v>4321</v>
      </c>
      <c r="B1852" s="3" t="s">
        <v>93</v>
      </c>
      <c r="C1852" s="1" t="s">
        <v>109</v>
      </c>
      <c r="D1852" s="1" t="s">
        <v>6420</v>
      </c>
      <c r="E1852" s="1" t="str">
        <f>"2320"</f>
        <v>2320</v>
      </c>
      <c r="F1852" s="1" t="str">
        <f>"011274800"</f>
        <v>011274800</v>
      </c>
      <c r="G1852" s="1" t="s">
        <v>373</v>
      </c>
      <c r="H1852" s="1" t="s">
        <v>15</v>
      </c>
      <c r="I1852" s="3" t="str">
        <f>"1"</f>
        <v>1</v>
      </c>
      <c r="J1852" s="3" t="str">
        <f>"7895"</f>
        <v>7895</v>
      </c>
      <c r="K1852" s="2">
        <v>45857</v>
      </c>
      <c r="L1852" s="2">
        <v>45877</v>
      </c>
      <c r="M1852" s="1" t="s">
        <v>6419</v>
      </c>
      <c r="N1852" s="1" t="s">
        <v>6418</v>
      </c>
    </row>
    <row r="1853" spans="1:14" x14ac:dyDescent="0.35">
      <c r="A1853" s="1" t="s">
        <v>4321</v>
      </c>
      <c r="B1853" s="3" t="s">
        <v>2145</v>
      </c>
      <c r="C1853" s="1" t="s">
        <v>6417</v>
      </c>
      <c r="D1853" s="1" t="s">
        <v>6416</v>
      </c>
      <c r="E1853" s="1" t="str">
        <f>"4240"</f>
        <v>4240</v>
      </c>
      <c r="F1853" s="1" t="str">
        <f>"011869769"</f>
        <v>011869769</v>
      </c>
      <c r="G1853" s="1" t="s">
        <v>6415</v>
      </c>
      <c r="H1853" s="1" t="s">
        <v>15</v>
      </c>
      <c r="I1853" s="3" t="str">
        <f>"8"</f>
        <v>8</v>
      </c>
      <c r="J1853" s="3">
        <v>152.99</v>
      </c>
      <c r="K1853" s="2">
        <v>45839</v>
      </c>
      <c r="L1853" s="2">
        <v>45877</v>
      </c>
      <c r="M1853" s="1" t="s">
        <v>6414</v>
      </c>
      <c r="N1853" s="1" t="s">
        <v>6413</v>
      </c>
    </row>
    <row r="1854" spans="1:14" x14ac:dyDescent="0.35">
      <c r="A1854" s="1" t="s">
        <v>4321</v>
      </c>
      <c r="B1854" s="3" t="s">
        <v>806</v>
      </c>
      <c r="C1854" s="1" t="s">
        <v>870</v>
      </c>
      <c r="D1854" s="1" t="s">
        <v>6412</v>
      </c>
      <c r="E1854" s="1" t="str">
        <f>"1005"</f>
        <v>1005</v>
      </c>
      <c r="F1854" s="1" t="str">
        <f>"003127177"</f>
        <v>003127177</v>
      </c>
      <c r="G1854" s="1" t="s">
        <v>1010</v>
      </c>
      <c r="H1854" s="1" t="s">
        <v>15</v>
      </c>
      <c r="I1854" s="3" t="str">
        <f>"85"</f>
        <v>85</v>
      </c>
      <c r="J1854" s="3">
        <v>12.41</v>
      </c>
      <c r="K1854" s="2">
        <v>45838</v>
      </c>
      <c r="L1854" s="2">
        <v>45877</v>
      </c>
      <c r="M1854" s="1" t="s">
        <v>6411</v>
      </c>
      <c r="N1854" s="1" t="s">
        <v>6410</v>
      </c>
    </row>
    <row r="1855" spans="1:14" x14ac:dyDescent="0.35">
      <c r="A1855" s="1" t="s">
        <v>4321</v>
      </c>
      <c r="B1855" s="3" t="s">
        <v>1699</v>
      </c>
      <c r="C1855" s="1" t="s">
        <v>1704</v>
      </c>
      <c r="D1855" s="1" t="s">
        <v>6409</v>
      </c>
      <c r="E1855" s="1" t="str">
        <f>"4810"</f>
        <v>4810</v>
      </c>
      <c r="F1855" s="1" t="str">
        <f>"011539363"</f>
        <v>011539363</v>
      </c>
      <c r="G1855" s="1" t="s">
        <v>1710</v>
      </c>
      <c r="H1855" s="1" t="s">
        <v>15</v>
      </c>
      <c r="I1855" s="3" t="str">
        <f>"4"</f>
        <v>4</v>
      </c>
      <c r="J1855" s="3" t="str">
        <f>"4231"</f>
        <v>4231</v>
      </c>
      <c r="K1855" s="2">
        <v>45876</v>
      </c>
      <c r="L1855" s="2">
        <v>45876</v>
      </c>
      <c r="N1855" s="1" t="s">
        <v>6408</v>
      </c>
    </row>
    <row r="1856" spans="1:14" x14ac:dyDescent="0.35">
      <c r="A1856" s="1" t="s">
        <v>4321</v>
      </c>
      <c r="B1856" s="3" t="s">
        <v>1699</v>
      </c>
      <c r="C1856" s="1" t="s">
        <v>1704</v>
      </c>
      <c r="D1856" s="1" t="s">
        <v>6409</v>
      </c>
      <c r="E1856" s="1" t="str">
        <f>"4810"</f>
        <v>4810</v>
      </c>
      <c r="F1856" s="1" t="str">
        <f>"011539363"</f>
        <v>011539363</v>
      </c>
      <c r="G1856" s="1" t="s">
        <v>1710</v>
      </c>
      <c r="H1856" s="1" t="s">
        <v>15</v>
      </c>
      <c r="I1856" s="3" t="str">
        <f>"4"</f>
        <v>4</v>
      </c>
      <c r="J1856" s="3" t="str">
        <f>"4231"</f>
        <v>4231</v>
      </c>
      <c r="K1856" s="2">
        <v>45876</v>
      </c>
      <c r="L1856" s="2">
        <v>45876</v>
      </c>
      <c r="N1856" s="1" t="s">
        <v>6408</v>
      </c>
    </row>
    <row r="1857" spans="1:14" x14ac:dyDescent="0.35">
      <c r="A1857" s="1" t="s">
        <v>4321</v>
      </c>
      <c r="B1857" s="3" t="s">
        <v>2248</v>
      </c>
      <c r="C1857" s="1" t="s">
        <v>2357</v>
      </c>
      <c r="D1857" s="1" t="s">
        <v>6407</v>
      </c>
      <c r="E1857" s="1" t="str">
        <f>"1550"</f>
        <v>1550</v>
      </c>
      <c r="F1857" s="1" t="str">
        <f>"016967313"</f>
        <v>016967313</v>
      </c>
      <c r="G1857" s="1" t="s">
        <v>2334</v>
      </c>
      <c r="H1857" s="1" t="s">
        <v>15</v>
      </c>
      <c r="I1857" s="3" t="str">
        <f>"2"</f>
        <v>2</v>
      </c>
      <c r="J1857" s="3" t="str">
        <f>"46800"</f>
        <v>46800</v>
      </c>
      <c r="K1857" s="2">
        <v>45875</v>
      </c>
      <c r="L1857" s="2">
        <v>45876</v>
      </c>
      <c r="M1857" s="1" t="s">
        <v>6406</v>
      </c>
      <c r="N1857" s="1" t="s">
        <v>4343</v>
      </c>
    </row>
    <row r="1858" spans="1:14" x14ac:dyDescent="0.35">
      <c r="A1858" s="1" t="s">
        <v>4321</v>
      </c>
      <c r="B1858" s="3" t="s">
        <v>2720</v>
      </c>
      <c r="C1858" s="1" t="s">
        <v>2897</v>
      </c>
      <c r="D1858" s="1" t="s">
        <v>6405</v>
      </c>
      <c r="E1858" s="1" t="str">
        <f>"1550"</f>
        <v>1550</v>
      </c>
      <c r="F1858" s="1" t="str">
        <f>"016215533"</f>
        <v>016215533</v>
      </c>
      <c r="G1858" s="1" t="s">
        <v>2334</v>
      </c>
      <c r="H1858" s="1" t="s">
        <v>15</v>
      </c>
      <c r="I1858" s="3" t="str">
        <f>"1"</f>
        <v>1</v>
      </c>
      <c r="J1858" s="3" t="str">
        <f>"168000"</f>
        <v>168000</v>
      </c>
      <c r="K1858" s="2">
        <v>45875</v>
      </c>
      <c r="L1858" s="2">
        <v>45876</v>
      </c>
      <c r="M1858" s="1" t="s">
        <v>6387</v>
      </c>
      <c r="N1858" s="1" t="s">
        <v>4387</v>
      </c>
    </row>
    <row r="1859" spans="1:14" x14ac:dyDescent="0.35">
      <c r="A1859" s="1" t="s">
        <v>4321</v>
      </c>
      <c r="B1859" s="3" t="s">
        <v>1317</v>
      </c>
      <c r="C1859" s="1" t="s">
        <v>1381</v>
      </c>
      <c r="D1859" s="1" t="s">
        <v>6404</v>
      </c>
      <c r="E1859" s="1" t="str">
        <f>"1550"</f>
        <v>1550</v>
      </c>
      <c r="F1859" s="1" t="str">
        <f>"016967313"</f>
        <v>016967313</v>
      </c>
      <c r="G1859" s="1" t="s">
        <v>2334</v>
      </c>
      <c r="H1859" s="1" t="s">
        <v>15</v>
      </c>
      <c r="I1859" s="3" t="str">
        <f>"1"</f>
        <v>1</v>
      </c>
      <c r="J1859" s="3" t="str">
        <f>"46800"</f>
        <v>46800</v>
      </c>
      <c r="K1859" s="2">
        <v>45874</v>
      </c>
      <c r="L1859" s="2">
        <v>45876</v>
      </c>
      <c r="M1859" s="1" t="s">
        <v>6403</v>
      </c>
      <c r="N1859" s="1" t="s">
        <v>6402</v>
      </c>
    </row>
    <row r="1860" spans="1:14" x14ac:dyDescent="0.35">
      <c r="A1860" s="1" t="s">
        <v>4321</v>
      </c>
      <c r="B1860" s="3" t="s">
        <v>3183</v>
      </c>
      <c r="C1860" s="1" t="s">
        <v>3376</v>
      </c>
      <c r="D1860" s="1" t="s">
        <v>6401</v>
      </c>
      <c r="E1860" s="1" t="str">
        <f>"6545"</f>
        <v>6545</v>
      </c>
      <c r="F1860" s="1" t="str">
        <f>"015392732"</f>
        <v>015392732</v>
      </c>
      <c r="G1860" s="1" t="s">
        <v>1046</v>
      </c>
      <c r="H1860" s="1" t="s">
        <v>19</v>
      </c>
      <c r="I1860" s="3" t="str">
        <f>"2"</f>
        <v>2</v>
      </c>
      <c r="J1860" s="3">
        <v>562.78</v>
      </c>
      <c r="K1860" s="2">
        <v>45874</v>
      </c>
      <c r="L1860" s="2">
        <v>45876</v>
      </c>
      <c r="M1860" s="1" t="s">
        <v>6400</v>
      </c>
      <c r="N1860" s="1" t="s">
        <v>6399</v>
      </c>
    </row>
    <row r="1861" spans="1:14" x14ac:dyDescent="0.35">
      <c r="A1861" s="1" t="s">
        <v>4321</v>
      </c>
      <c r="B1861" s="3" t="s">
        <v>4087</v>
      </c>
      <c r="C1861" s="1" t="s">
        <v>4143</v>
      </c>
      <c r="D1861" s="1" t="s">
        <v>6398</v>
      </c>
      <c r="E1861" s="1" t="str">
        <f>"7110"</f>
        <v>7110</v>
      </c>
      <c r="F1861" s="1" t="s">
        <v>2939</v>
      </c>
      <c r="G1861" s="1" t="s">
        <v>2940</v>
      </c>
      <c r="H1861" s="1" t="s">
        <v>15</v>
      </c>
      <c r="I1861" s="3" t="str">
        <f>"1"</f>
        <v>1</v>
      </c>
      <c r="J1861" s="3" t="str">
        <f>"159"</f>
        <v>159</v>
      </c>
      <c r="K1861" s="2">
        <v>45874</v>
      </c>
      <c r="L1861" s="2">
        <v>45876</v>
      </c>
      <c r="M1861" s="1" t="s">
        <v>6397</v>
      </c>
      <c r="N1861" s="1" t="s">
        <v>6396</v>
      </c>
    </row>
    <row r="1862" spans="1:14" x14ac:dyDescent="0.35">
      <c r="A1862" s="1" t="s">
        <v>4321</v>
      </c>
      <c r="B1862" s="3" t="s">
        <v>2720</v>
      </c>
      <c r="C1862" s="1" t="s">
        <v>2842</v>
      </c>
      <c r="D1862" s="1" t="s">
        <v>6395</v>
      </c>
      <c r="E1862" s="1" t="str">
        <f>"6115"</f>
        <v>6115</v>
      </c>
      <c r="F1862" s="1" t="s">
        <v>174</v>
      </c>
      <c r="G1862" s="1" t="s">
        <v>175</v>
      </c>
      <c r="H1862" s="1" t="s">
        <v>15</v>
      </c>
      <c r="I1862" s="3" t="str">
        <f>"1"</f>
        <v>1</v>
      </c>
      <c r="J1862" s="3" t="str">
        <f>"1079"</f>
        <v>1079</v>
      </c>
      <c r="K1862" s="2">
        <v>45874</v>
      </c>
      <c r="L1862" s="2">
        <v>45876</v>
      </c>
      <c r="M1862" s="1" t="s">
        <v>6394</v>
      </c>
      <c r="N1862" s="1" t="s">
        <v>6393</v>
      </c>
    </row>
    <row r="1863" spans="1:14" x14ac:dyDescent="0.35">
      <c r="A1863" s="1" t="s">
        <v>4321</v>
      </c>
      <c r="B1863" s="3" t="s">
        <v>2248</v>
      </c>
      <c r="C1863" s="1" t="s">
        <v>2375</v>
      </c>
      <c r="D1863" s="1" t="s">
        <v>6392</v>
      </c>
      <c r="E1863" s="1" t="str">
        <f>"1550"</f>
        <v>1550</v>
      </c>
      <c r="F1863" s="1" t="str">
        <f>"016967313"</f>
        <v>016967313</v>
      </c>
      <c r="G1863" s="1" t="s">
        <v>2334</v>
      </c>
      <c r="H1863" s="1" t="s">
        <v>15</v>
      </c>
      <c r="I1863" s="3" t="str">
        <f>"1"</f>
        <v>1</v>
      </c>
      <c r="J1863" s="3" t="str">
        <f>"46800"</f>
        <v>46800</v>
      </c>
      <c r="K1863" s="2">
        <v>45874</v>
      </c>
      <c r="L1863" s="2">
        <v>45876</v>
      </c>
      <c r="M1863" s="1" t="s">
        <v>6391</v>
      </c>
      <c r="N1863" s="1" t="s">
        <v>6390</v>
      </c>
    </row>
    <row r="1864" spans="1:14" x14ac:dyDescent="0.35">
      <c r="A1864" s="1" t="s">
        <v>4321</v>
      </c>
      <c r="B1864" s="3" t="s">
        <v>2720</v>
      </c>
      <c r="C1864" s="1" t="s">
        <v>2897</v>
      </c>
      <c r="D1864" s="1" t="s">
        <v>6389</v>
      </c>
      <c r="E1864" s="1" t="str">
        <f>"1550"</f>
        <v>1550</v>
      </c>
      <c r="F1864" s="1" t="str">
        <f>"015389256"</f>
        <v>015389256</v>
      </c>
      <c r="G1864" s="1" t="s">
        <v>2416</v>
      </c>
      <c r="H1864" s="1" t="s">
        <v>15</v>
      </c>
      <c r="I1864" s="3" t="str">
        <f>"1"</f>
        <v>1</v>
      </c>
      <c r="J1864" s="3" t="str">
        <f>"100000"</f>
        <v>100000</v>
      </c>
      <c r="K1864" s="2">
        <v>45874</v>
      </c>
      <c r="L1864" s="2">
        <v>45876</v>
      </c>
      <c r="M1864" s="1" t="s">
        <v>6387</v>
      </c>
    </row>
    <row r="1865" spans="1:14" x14ac:dyDescent="0.35">
      <c r="A1865" s="1" t="s">
        <v>4321</v>
      </c>
      <c r="B1865" s="3" t="s">
        <v>2720</v>
      </c>
      <c r="C1865" s="1" t="s">
        <v>2897</v>
      </c>
      <c r="D1865" s="1" t="s">
        <v>6388</v>
      </c>
      <c r="E1865" s="1" t="str">
        <f>"1550"</f>
        <v>1550</v>
      </c>
      <c r="F1865" s="1" t="str">
        <f>"015389256"</f>
        <v>015389256</v>
      </c>
      <c r="G1865" s="1" t="s">
        <v>2416</v>
      </c>
      <c r="H1865" s="1" t="s">
        <v>15</v>
      </c>
      <c r="I1865" s="3" t="str">
        <f>"1"</f>
        <v>1</v>
      </c>
      <c r="J1865" s="3" t="str">
        <f>"100000"</f>
        <v>100000</v>
      </c>
      <c r="K1865" s="2">
        <v>45874</v>
      </c>
      <c r="L1865" s="2">
        <v>45876</v>
      </c>
      <c r="M1865" s="1" t="s">
        <v>6387</v>
      </c>
      <c r="N1865" s="1" t="s">
        <v>4387</v>
      </c>
    </row>
    <row r="1866" spans="1:14" x14ac:dyDescent="0.35">
      <c r="A1866" s="1" t="s">
        <v>4321</v>
      </c>
      <c r="B1866" s="3" t="s">
        <v>2720</v>
      </c>
      <c r="C1866" s="1" t="s">
        <v>2721</v>
      </c>
      <c r="D1866" s="1" t="s">
        <v>6386</v>
      </c>
      <c r="E1866" s="1" t="str">
        <f>"6545"</f>
        <v>6545</v>
      </c>
      <c r="F1866" s="1" t="str">
        <f>"015392732"</f>
        <v>015392732</v>
      </c>
      <c r="G1866" s="1" t="s">
        <v>1046</v>
      </c>
      <c r="H1866" s="1" t="s">
        <v>19</v>
      </c>
      <c r="I1866" s="3" t="str">
        <f>"2"</f>
        <v>2</v>
      </c>
      <c r="J1866" s="3">
        <v>562.78</v>
      </c>
      <c r="K1866" s="2">
        <v>45873</v>
      </c>
      <c r="L1866" s="2">
        <v>45876</v>
      </c>
      <c r="M1866" s="1" t="s">
        <v>6385</v>
      </c>
      <c r="N1866" s="1" t="s">
        <v>6384</v>
      </c>
    </row>
    <row r="1867" spans="1:14" x14ac:dyDescent="0.35">
      <c r="A1867" s="1" t="s">
        <v>4321</v>
      </c>
      <c r="B1867" s="3" t="s">
        <v>2638</v>
      </c>
      <c r="C1867" s="1" t="s">
        <v>2645</v>
      </c>
      <c r="D1867" s="1" t="s">
        <v>6383</v>
      </c>
      <c r="E1867" s="1" t="str">
        <f>"7010"</f>
        <v>7010</v>
      </c>
      <c r="F1867" s="1" t="str">
        <f>"016167730"</f>
        <v>016167730</v>
      </c>
      <c r="G1867" s="1" t="s">
        <v>2255</v>
      </c>
      <c r="H1867" s="1" t="s">
        <v>15</v>
      </c>
      <c r="I1867" s="3" t="str">
        <f>"5"</f>
        <v>5</v>
      </c>
      <c r="J1867" s="3">
        <v>5360.03</v>
      </c>
      <c r="K1867" s="2">
        <v>45873</v>
      </c>
      <c r="L1867" s="2">
        <v>45876</v>
      </c>
      <c r="M1867" s="1" t="s">
        <v>6382</v>
      </c>
      <c r="N1867" s="1" t="s">
        <v>6381</v>
      </c>
    </row>
    <row r="1868" spans="1:14" x14ac:dyDescent="0.35">
      <c r="A1868" s="1" t="s">
        <v>4321</v>
      </c>
      <c r="B1868" s="3" t="s">
        <v>2638</v>
      </c>
      <c r="C1868" s="1" t="s">
        <v>2645</v>
      </c>
      <c r="D1868" s="1" t="s">
        <v>6383</v>
      </c>
      <c r="E1868" s="1" t="str">
        <f>"7010"</f>
        <v>7010</v>
      </c>
      <c r="F1868" s="1" t="str">
        <f>"016167730"</f>
        <v>016167730</v>
      </c>
      <c r="G1868" s="1" t="s">
        <v>2255</v>
      </c>
      <c r="H1868" s="1" t="s">
        <v>15</v>
      </c>
      <c r="I1868" s="3" t="str">
        <f>"5"</f>
        <v>5</v>
      </c>
      <c r="J1868" s="3">
        <v>5360.03</v>
      </c>
      <c r="K1868" s="2">
        <v>45873</v>
      </c>
      <c r="L1868" s="2">
        <v>45876</v>
      </c>
      <c r="M1868" s="1" t="s">
        <v>6382</v>
      </c>
      <c r="N1868" s="1" t="s">
        <v>6381</v>
      </c>
    </row>
    <row r="1869" spans="1:14" x14ac:dyDescent="0.35">
      <c r="A1869" s="1" t="s">
        <v>4321</v>
      </c>
      <c r="B1869" s="3" t="s">
        <v>2114</v>
      </c>
      <c r="C1869" s="1" t="s">
        <v>2134</v>
      </c>
      <c r="D1869" s="1" t="s">
        <v>6380</v>
      </c>
      <c r="E1869" s="1" t="str">
        <f>"6545"</f>
        <v>6545</v>
      </c>
      <c r="F1869" s="1" t="str">
        <f>"015392732"</f>
        <v>015392732</v>
      </c>
      <c r="G1869" s="1" t="s">
        <v>1046</v>
      </c>
      <c r="H1869" s="1" t="s">
        <v>19</v>
      </c>
      <c r="I1869" s="3" t="str">
        <f>"2"</f>
        <v>2</v>
      </c>
      <c r="J1869" s="3">
        <v>562.78</v>
      </c>
      <c r="K1869" s="2">
        <v>45873</v>
      </c>
      <c r="L1869" s="2">
        <v>45876</v>
      </c>
      <c r="M1869" s="1" t="s">
        <v>6379</v>
      </c>
      <c r="N1869" s="1" t="s">
        <v>4343</v>
      </c>
    </row>
    <row r="1870" spans="1:14" x14ac:dyDescent="0.35">
      <c r="A1870" s="1" t="s">
        <v>4321</v>
      </c>
      <c r="B1870" s="3" t="s">
        <v>3183</v>
      </c>
      <c r="C1870" s="1" t="s">
        <v>6378</v>
      </c>
      <c r="D1870" s="1" t="s">
        <v>6377</v>
      </c>
      <c r="E1870" s="1" t="str">
        <f>"2340"</f>
        <v>2340</v>
      </c>
      <c r="F1870" s="1" t="s">
        <v>278</v>
      </c>
      <c r="G1870" s="1" t="s">
        <v>279</v>
      </c>
      <c r="H1870" s="1" t="s">
        <v>15</v>
      </c>
      <c r="I1870" s="3" t="str">
        <f>"1"</f>
        <v>1</v>
      </c>
      <c r="J1870" s="3">
        <v>41354.5</v>
      </c>
      <c r="K1870" s="2">
        <v>45867</v>
      </c>
      <c r="L1870" s="2">
        <v>45876</v>
      </c>
      <c r="M1870" s="1" t="s">
        <v>6376</v>
      </c>
      <c r="N1870" s="1" t="s">
        <v>6375</v>
      </c>
    </row>
    <row r="1871" spans="1:14" x14ac:dyDescent="0.35">
      <c r="A1871" s="1" t="s">
        <v>4321</v>
      </c>
      <c r="B1871" s="3" t="s">
        <v>3183</v>
      </c>
      <c r="C1871" s="1" t="s">
        <v>3435</v>
      </c>
      <c r="D1871" s="1" t="s">
        <v>6374</v>
      </c>
      <c r="E1871" s="1" t="str">
        <f>"2340"</f>
        <v>2340</v>
      </c>
      <c r="F1871" s="1" t="s">
        <v>278</v>
      </c>
      <c r="G1871" s="1" t="s">
        <v>279</v>
      </c>
      <c r="H1871" s="1" t="s">
        <v>15</v>
      </c>
      <c r="I1871" s="3" t="str">
        <f>"1"</f>
        <v>1</v>
      </c>
      <c r="J1871" s="3">
        <v>41354.5</v>
      </c>
      <c r="K1871" s="2">
        <v>45867</v>
      </c>
      <c r="L1871" s="2">
        <v>45876</v>
      </c>
      <c r="M1871" s="1" t="s">
        <v>6373</v>
      </c>
      <c r="N1871" s="1" t="s">
        <v>6372</v>
      </c>
    </row>
    <row r="1872" spans="1:14" x14ac:dyDescent="0.35">
      <c r="A1872" s="1" t="s">
        <v>4321</v>
      </c>
      <c r="B1872" s="3" t="s">
        <v>1445</v>
      </c>
      <c r="C1872" s="1" t="s">
        <v>1459</v>
      </c>
      <c r="D1872" s="1" t="s">
        <v>6371</v>
      </c>
      <c r="E1872" s="1" t="str">
        <f>"6760"</f>
        <v>6760</v>
      </c>
      <c r="F1872" s="1" t="s">
        <v>671</v>
      </c>
      <c r="G1872" s="1" t="s">
        <v>672</v>
      </c>
      <c r="H1872" s="1" t="s">
        <v>15</v>
      </c>
      <c r="I1872" s="3" t="str">
        <f>"18"</f>
        <v>18</v>
      </c>
      <c r="J1872" s="3">
        <v>650.48</v>
      </c>
      <c r="K1872" s="2">
        <v>45865</v>
      </c>
      <c r="L1872" s="2">
        <v>45876</v>
      </c>
      <c r="M1872" s="1" t="s">
        <v>6370</v>
      </c>
      <c r="N1872" s="1" t="s">
        <v>6369</v>
      </c>
    </row>
    <row r="1873" spans="1:14" x14ac:dyDescent="0.35">
      <c r="A1873" s="1" t="s">
        <v>4321</v>
      </c>
      <c r="B1873" s="3" t="s">
        <v>1445</v>
      </c>
      <c r="C1873" s="1" t="s">
        <v>1459</v>
      </c>
      <c r="D1873" s="1" t="s">
        <v>6368</v>
      </c>
      <c r="E1873" s="1" t="str">
        <f>"6760"</f>
        <v>6760</v>
      </c>
      <c r="F1873" s="1" t="s">
        <v>671</v>
      </c>
      <c r="G1873" s="1" t="s">
        <v>672</v>
      </c>
      <c r="H1873" s="1" t="s">
        <v>15</v>
      </c>
      <c r="I1873" s="3" t="str">
        <f>"2"</f>
        <v>2</v>
      </c>
      <c r="J1873" s="3">
        <v>290.86</v>
      </c>
      <c r="K1873" s="2">
        <v>45865</v>
      </c>
      <c r="L1873" s="2">
        <v>45876</v>
      </c>
      <c r="M1873" s="1" t="s">
        <v>6367</v>
      </c>
      <c r="N1873" s="1" t="s">
        <v>6366</v>
      </c>
    </row>
    <row r="1874" spans="1:14" x14ac:dyDescent="0.35">
      <c r="A1874" s="1" t="s">
        <v>4321</v>
      </c>
      <c r="B1874" s="3" t="s">
        <v>806</v>
      </c>
      <c r="C1874" s="1" t="s">
        <v>941</v>
      </c>
      <c r="D1874" s="1" t="s">
        <v>6365</v>
      </c>
      <c r="E1874" s="1" t="str">
        <f>"8340"</f>
        <v>8340</v>
      </c>
      <c r="F1874" s="1" t="str">
        <f>"014640809"</f>
        <v>014640809</v>
      </c>
      <c r="G1874" s="1" t="s">
        <v>6364</v>
      </c>
      <c r="H1874" s="1" t="s">
        <v>15</v>
      </c>
      <c r="I1874" s="3" t="str">
        <f>"5"</f>
        <v>5</v>
      </c>
      <c r="J1874" s="3">
        <v>144.32</v>
      </c>
      <c r="K1874" s="2">
        <v>45858</v>
      </c>
      <c r="L1874" s="2">
        <v>45876</v>
      </c>
      <c r="M1874" s="1" t="s">
        <v>955</v>
      </c>
      <c r="N1874" s="1" t="s">
        <v>6363</v>
      </c>
    </row>
    <row r="1875" spans="1:14" x14ac:dyDescent="0.35">
      <c r="A1875" s="1" t="s">
        <v>4321</v>
      </c>
      <c r="B1875" s="3" t="s">
        <v>2248</v>
      </c>
      <c r="C1875" s="1" t="s">
        <v>2265</v>
      </c>
      <c r="D1875" s="1" t="s">
        <v>6362</v>
      </c>
      <c r="E1875" s="1" t="str">
        <f>"5855"</f>
        <v>5855</v>
      </c>
      <c r="F1875" s="1" t="str">
        <f>"014199429"</f>
        <v>014199429</v>
      </c>
      <c r="G1875" s="1" t="s">
        <v>1942</v>
      </c>
      <c r="H1875" s="1" t="s">
        <v>15</v>
      </c>
      <c r="I1875" s="3" t="str">
        <f>"20"</f>
        <v>20</v>
      </c>
      <c r="J1875" s="3" t="str">
        <f>"13610"</f>
        <v>13610</v>
      </c>
      <c r="K1875" s="2">
        <v>45852</v>
      </c>
      <c r="L1875" s="2">
        <v>45876</v>
      </c>
      <c r="M1875" s="1" t="s">
        <v>6361</v>
      </c>
      <c r="N1875" s="1" t="s">
        <v>6360</v>
      </c>
    </row>
    <row r="1876" spans="1:14" x14ac:dyDescent="0.35">
      <c r="A1876" s="1" t="s">
        <v>4321</v>
      </c>
      <c r="B1876" s="3" t="s">
        <v>2000</v>
      </c>
      <c r="C1876" s="1" t="s">
        <v>4539</v>
      </c>
      <c r="D1876" s="1" t="s">
        <v>6359</v>
      </c>
      <c r="E1876" s="1" t="str">
        <f>"7025"</f>
        <v>7025</v>
      </c>
      <c r="F1876" s="1" t="s">
        <v>3286</v>
      </c>
      <c r="G1876" s="1" t="s">
        <v>3287</v>
      </c>
      <c r="H1876" s="1" t="s">
        <v>15</v>
      </c>
      <c r="I1876" s="3" t="str">
        <f>"10"</f>
        <v>10</v>
      </c>
      <c r="J1876" s="3" t="str">
        <f>"250"</f>
        <v>250</v>
      </c>
      <c r="K1876" s="2">
        <v>45874</v>
      </c>
      <c r="L1876" s="2">
        <v>45875</v>
      </c>
      <c r="M1876" s="1" t="s">
        <v>6358</v>
      </c>
      <c r="N1876" s="1" t="s">
        <v>6357</v>
      </c>
    </row>
    <row r="1877" spans="1:14" x14ac:dyDescent="0.35">
      <c r="A1877" s="1" t="s">
        <v>4321</v>
      </c>
      <c r="B1877" s="3" t="s">
        <v>3183</v>
      </c>
      <c r="C1877" s="1" t="s">
        <v>3352</v>
      </c>
      <c r="D1877" s="1" t="s">
        <v>6356</v>
      </c>
      <c r="E1877" s="1" t="str">
        <f>"3431"</f>
        <v>3431</v>
      </c>
      <c r="F1877" s="1" t="s">
        <v>146</v>
      </c>
      <c r="G1877" s="1" t="s">
        <v>147</v>
      </c>
      <c r="H1877" s="1" t="s">
        <v>15</v>
      </c>
      <c r="I1877" s="3" t="str">
        <f>"1"</f>
        <v>1</v>
      </c>
      <c r="J1877" s="3" t="str">
        <f>"2468"</f>
        <v>2468</v>
      </c>
      <c r="K1877" s="2">
        <v>45874</v>
      </c>
      <c r="L1877" s="2">
        <v>45875</v>
      </c>
      <c r="M1877" s="1" t="s">
        <v>6355</v>
      </c>
      <c r="N1877" s="1" t="s">
        <v>4343</v>
      </c>
    </row>
    <row r="1878" spans="1:14" x14ac:dyDescent="0.35">
      <c r="A1878" s="1" t="s">
        <v>4321</v>
      </c>
      <c r="B1878" s="3" t="s">
        <v>3183</v>
      </c>
      <c r="C1878" s="1" t="s">
        <v>3352</v>
      </c>
      <c r="D1878" s="1" t="s">
        <v>6354</v>
      </c>
      <c r="E1878" s="1" t="str">
        <f>"2340"</f>
        <v>2340</v>
      </c>
      <c r="F1878" s="1" t="s">
        <v>694</v>
      </c>
      <c r="G1878" s="1" t="s">
        <v>695</v>
      </c>
      <c r="H1878" s="1" t="s">
        <v>15</v>
      </c>
      <c r="I1878" s="3" t="str">
        <f>"1"</f>
        <v>1</v>
      </c>
      <c r="J1878" s="3" t="str">
        <f>"784"</f>
        <v>784</v>
      </c>
      <c r="K1878" s="2">
        <v>45874</v>
      </c>
      <c r="L1878" s="2">
        <v>45875</v>
      </c>
      <c r="M1878" s="1" t="s">
        <v>6353</v>
      </c>
      <c r="N1878" s="1" t="s">
        <v>4343</v>
      </c>
    </row>
    <row r="1879" spans="1:14" x14ac:dyDescent="0.35">
      <c r="A1879" s="1" t="s">
        <v>4321</v>
      </c>
      <c r="B1879" s="3" t="s">
        <v>3183</v>
      </c>
      <c r="C1879" s="1" t="s">
        <v>3376</v>
      </c>
      <c r="D1879" s="1" t="s">
        <v>6352</v>
      </c>
      <c r="E1879" s="1" t="str">
        <f>"3431"</f>
        <v>3431</v>
      </c>
      <c r="F1879" s="1" t="s">
        <v>146</v>
      </c>
      <c r="G1879" s="1" t="s">
        <v>147</v>
      </c>
      <c r="H1879" s="1" t="s">
        <v>15</v>
      </c>
      <c r="I1879" s="3" t="str">
        <f>"1"</f>
        <v>1</v>
      </c>
      <c r="J1879" s="3" t="str">
        <f>"2468"</f>
        <v>2468</v>
      </c>
      <c r="K1879" s="2">
        <v>45874</v>
      </c>
      <c r="L1879" s="2">
        <v>45875</v>
      </c>
      <c r="M1879" s="1" t="s">
        <v>6351</v>
      </c>
      <c r="N1879" s="1" t="s">
        <v>4343</v>
      </c>
    </row>
    <row r="1880" spans="1:14" x14ac:dyDescent="0.35">
      <c r="A1880" s="1" t="s">
        <v>4321</v>
      </c>
      <c r="B1880" s="3" t="s">
        <v>4087</v>
      </c>
      <c r="C1880" s="1" t="s">
        <v>4143</v>
      </c>
      <c r="D1880" s="1" t="s">
        <v>6350</v>
      </c>
      <c r="E1880" s="1" t="str">
        <f>"7920"</f>
        <v>7920</v>
      </c>
      <c r="F1880" s="1" t="str">
        <f>"014541150"</f>
        <v>014541150</v>
      </c>
      <c r="G1880" s="1" t="s">
        <v>6349</v>
      </c>
      <c r="H1880" s="1" t="s">
        <v>290</v>
      </c>
      <c r="I1880" s="3" t="str">
        <f>"2"</f>
        <v>2</v>
      </c>
      <c r="J1880" s="3">
        <v>372.03</v>
      </c>
      <c r="K1880" s="2">
        <v>45874</v>
      </c>
      <c r="L1880" s="2">
        <v>45875</v>
      </c>
      <c r="M1880" s="1" t="s">
        <v>6348</v>
      </c>
      <c r="N1880" s="1" t="s">
        <v>4343</v>
      </c>
    </row>
    <row r="1881" spans="1:14" x14ac:dyDescent="0.35">
      <c r="A1881" s="1" t="s">
        <v>4321</v>
      </c>
      <c r="B1881" s="3" t="s">
        <v>2720</v>
      </c>
      <c r="C1881" s="1" t="s">
        <v>2842</v>
      </c>
      <c r="D1881" s="1" t="s">
        <v>6347</v>
      </c>
      <c r="E1881" s="1" t="str">
        <f>"3431"</f>
        <v>3431</v>
      </c>
      <c r="F1881" s="1" t="s">
        <v>146</v>
      </c>
      <c r="G1881" s="1" t="s">
        <v>147</v>
      </c>
      <c r="H1881" s="1" t="s">
        <v>15</v>
      </c>
      <c r="I1881" s="3" t="str">
        <f>"1"</f>
        <v>1</v>
      </c>
      <c r="J1881" s="3" t="str">
        <f>"2468"</f>
        <v>2468</v>
      </c>
      <c r="K1881" s="2">
        <v>45874</v>
      </c>
      <c r="L1881" s="2">
        <v>45875</v>
      </c>
      <c r="M1881" s="1" t="s">
        <v>6346</v>
      </c>
      <c r="N1881" s="1" t="s">
        <v>6345</v>
      </c>
    </row>
    <row r="1882" spans="1:14" x14ac:dyDescent="0.35">
      <c r="A1882" s="1" t="s">
        <v>4321</v>
      </c>
      <c r="B1882" s="3" t="s">
        <v>2720</v>
      </c>
      <c r="C1882" s="1" t="s">
        <v>2842</v>
      </c>
      <c r="D1882" s="1" t="s">
        <v>6344</v>
      </c>
      <c r="E1882" s="1" t="str">
        <f>"2340"</f>
        <v>2340</v>
      </c>
      <c r="F1882" s="1" t="s">
        <v>694</v>
      </c>
      <c r="G1882" s="1" t="s">
        <v>695</v>
      </c>
      <c r="H1882" s="1" t="s">
        <v>15</v>
      </c>
      <c r="I1882" s="3" t="str">
        <f>"1"</f>
        <v>1</v>
      </c>
      <c r="J1882" s="3" t="str">
        <f>"784"</f>
        <v>784</v>
      </c>
      <c r="K1882" s="2">
        <v>45874</v>
      </c>
      <c r="L1882" s="2">
        <v>45875</v>
      </c>
      <c r="M1882" s="1" t="s">
        <v>6343</v>
      </c>
      <c r="N1882" s="1" t="s">
        <v>6342</v>
      </c>
    </row>
    <row r="1883" spans="1:14" x14ac:dyDescent="0.35">
      <c r="A1883" s="1" t="s">
        <v>4321</v>
      </c>
      <c r="B1883" s="3" t="s">
        <v>2720</v>
      </c>
      <c r="C1883" s="1" t="s">
        <v>2897</v>
      </c>
      <c r="D1883" s="1" t="s">
        <v>6341</v>
      </c>
      <c r="E1883" s="1" t="str">
        <f>"4220"</f>
        <v>4220</v>
      </c>
      <c r="F1883" s="1" t="s">
        <v>4066</v>
      </c>
      <c r="G1883" s="1" t="s">
        <v>4067</v>
      </c>
      <c r="H1883" s="1" t="s">
        <v>15</v>
      </c>
      <c r="I1883" s="3" t="str">
        <f>"1"</f>
        <v>1</v>
      </c>
      <c r="J1883" s="3">
        <v>3461.99</v>
      </c>
      <c r="K1883" s="2">
        <v>45874</v>
      </c>
      <c r="L1883" s="2">
        <v>45875</v>
      </c>
      <c r="M1883" s="1" t="s">
        <v>6340</v>
      </c>
      <c r="N1883" s="1" t="s">
        <v>4343</v>
      </c>
    </row>
    <row r="1884" spans="1:14" x14ac:dyDescent="0.35">
      <c r="A1884" s="1" t="s">
        <v>4321</v>
      </c>
      <c r="B1884" s="3" t="s">
        <v>2720</v>
      </c>
      <c r="C1884" s="1" t="s">
        <v>2721</v>
      </c>
      <c r="D1884" s="1" t="s">
        <v>6339</v>
      </c>
      <c r="E1884" s="1" t="str">
        <f>"7025"</f>
        <v>7025</v>
      </c>
      <c r="F1884" s="1" t="s">
        <v>3286</v>
      </c>
      <c r="G1884" s="1" t="s">
        <v>3287</v>
      </c>
      <c r="H1884" s="1" t="s">
        <v>15</v>
      </c>
      <c r="I1884" s="3" t="str">
        <f>"20"</f>
        <v>20</v>
      </c>
      <c r="J1884" s="3" t="str">
        <f>"250"</f>
        <v>250</v>
      </c>
      <c r="K1884" s="2">
        <v>45873</v>
      </c>
      <c r="L1884" s="2">
        <v>45875</v>
      </c>
      <c r="M1884" s="1" t="s">
        <v>6338</v>
      </c>
      <c r="N1884" s="1" t="s">
        <v>6337</v>
      </c>
    </row>
    <row r="1885" spans="1:14" x14ac:dyDescent="0.35">
      <c r="A1885" s="1" t="s">
        <v>4321</v>
      </c>
      <c r="B1885" s="3" t="s">
        <v>3183</v>
      </c>
      <c r="C1885" s="1" t="s">
        <v>3339</v>
      </c>
      <c r="D1885" s="1" t="s">
        <v>6336</v>
      </c>
      <c r="E1885" s="1" t="str">
        <f>"2340"</f>
        <v>2340</v>
      </c>
      <c r="F1885" s="1" t="s">
        <v>694</v>
      </c>
      <c r="G1885" s="1" t="s">
        <v>695</v>
      </c>
      <c r="H1885" s="1" t="s">
        <v>15</v>
      </c>
      <c r="I1885" s="3" t="str">
        <f>"1"</f>
        <v>1</v>
      </c>
      <c r="J1885" s="3" t="str">
        <f>"784"</f>
        <v>784</v>
      </c>
      <c r="K1885" s="2">
        <v>45873</v>
      </c>
      <c r="L1885" s="2">
        <v>45875</v>
      </c>
      <c r="M1885" s="1" t="s">
        <v>6335</v>
      </c>
      <c r="N1885" s="1" t="s">
        <v>6334</v>
      </c>
    </row>
    <row r="1886" spans="1:14" x14ac:dyDescent="0.35">
      <c r="A1886" s="1" t="s">
        <v>4321</v>
      </c>
      <c r="B1886" s="3" t="s">
        <v>2987</v>
      </c>
      <c r="C1886" s="1" t="s">
        <v>3065</v>
      </c>
      <c r="D1886" s="1" t="s">
        <v>6333</v>
      </c>
      <c r="E1886" s="1" t="str">
        <f>"1095"</f>
        <v>1095</v>
      </c>
      <c r="F1886" s="1" t="str">
        <f>"015300833"</f>
        <v>015300833</v>
      </c>
      <c r="G1886" s="1" t="s">
        <v>3067</v>
      </c>
      <c r="H1886" s="1" t="s">
        <v>15</v>
      </c>
      <c r="I1886" s="3" t="str">
        <f>"12"</f>
        <v>12</v>
      </c>
      <c r="J1886" s="3">
        <v>167.28</v>
      </c>
      <c r="K1886" s="2">
        <v>45871</v>
      </c>
      <c r="L1886" s="2">
        <v>45875</v>
      </c>
      <c r="M1886" s="1" t="s">
        <v>6332</v>
      </c>
      <c r="N1886" s="1" t="s">
        <v>6331</v>
      </c>
    </row>
    <row r="1887" spans="1:14" x14ac:dyDescent="0.35">
      <c r="A1887" s="1" t="s">
        <v>4321</v>
      </c>
      <c r="B1887" s="3" t="s">
        <v>2248</v>
      </c>
      <c r="C1887" s="1" t="s">
        <v>2357</v>
      </c>
      <c r="D1887" s="1" t="s">
        <v>6330</v>
      </c>
      <c r="E1887" s="1" t="str">
        <f>"2360"</f>
        <v>2360</v>
      </c>
      <c r="F1887" s="1" t="str">
        <f>"015768653"</f>
        <v>015768653</v>
      </c>
      <c r="G1887" s="1" t="s">
        <v>14</v>
      </c>
      <c r="H1887" s="1" t="s">
        <v>15</v>
      </c>
      <c r="I1887" s="3" t="str">
        <f>"1"</f>
        <v>1</v>
      </c>
      <c r="J1887" s="3">
        <v>12704.58</v>
      </c>
      <c r="K1887" s="2">
        <v>45864</v>
      </c>
      <c r="L1887" s="2">
        <v>45875</v>
      </c>
      <c r="M1887" s="1" t="s">
        <v>6329</v>
      </c>
      <c r="N1887" s="1" t="s">
        <v>6328</v>
      </c>
    </row>
    <row r="1888" spans="1:14" x14ac:dyDescent="0.35">
      <c r="A1888" s="1" t="s">
        <v>4321</v>
      </c>
      <c r="B1888" s="3" t="s">
        <v>2987</v>
      </c>
      <c r="C1888" s="1" t="s">
        <v>3065</v>
      </c>
      <c r="D1888" s="1" t="s">
        <v>6327</v>
      </c>
      <c r="E1888" s="1" t="str">
        <f>"3895"</f>
        <v>3895</v>
      </c>
      <c r="F1888" s="1" t="s">
        <v>396</v>
      </c>
      <c r="G1888" s="1" t="s">
        <v>397</v>
      </c>
      <c r="H1888" s="1" t="s">
        <v>15</v>
      </c>
      <c r="I1888" s="3" t="str">
        <f>"1"</f>
        <v>1</v>
      </c>
      <c r="J1888" s="3" t="str">
        <f>"15000"</f>
        <v>15000</v>
      </c>
      <c r="K1888" s="2">
        <v>45863</v>
      </c>
      <c r="L1888" s="2">
        <v>45875</v>
      </c>
      <c r="M1888" s="1" t="s">
        <v>6326</v>
      </c>
      <c r="N1888" s="1" t="s">
        <v>6325</v>
      </c>
    </row>
    <row r="1889" spans="1:14" x14ac:dyDescent="0.35">
      <c r="A1889" s="1" t="s">
        <v>4321</v>
      </c>
      <c r="B1889" s="3" t="s">
        <v>3105</v>
      </c>
      <c r="C1889" s="1" t="s">
        <v>4877</v>
      </c>
      <c r="D1889" s="1" t="s">
        <v>6324</v>
      </c>
      <c r="E1889" s="1" t="str">
        <f>"2510"</f>
        <v>2510</v>
      </c>
      <c r="F1889" s="1" t="str">
        <f>"014406855"</f>
        <v>014406855</v>
      </c>
      <c r="G1889" s="1" t="s">
        <v>6323</v>
      </c>
      <c r="H1889" s="1" t="s">
        <v>15</v>
      </c>
      <c r="I1889" s="3" t="str">
        <f>"1"</f>
        <v>1</v>
      </c>
      <c r="J1889" s="3">
        <v>13605.69</v>
      </c>
      <c r="K1889" s="2">
        <v>45857</v>
      </c>
      <c r="L1889" s="2">
        <v>45875</v>
      </c>
      <c r="M1889" s="1" t="s">
        <v>6322</v>
      </c>
      <c r="N1889" s="1" t="s">
        <v>6321</v>
      </c>
    </row>
    <row r="1890" spans="1:14" x14ac:dyDescent="0.35">
      <c r="A1890" s="1" t="s">
        <v>4321</v>
      </c>
      <c r="B1890" s="3" t="s">
        <v>2145</v>
      </c>
      <c r="C1890" s="1" t="s">
        <v>2153</v>
      </c>
      <c r="D1890" s="1" t="s">
        <v>6320</v>
      </c>
      <c r="E1890" s="1" t="str">
        <f>"1240"</f>
        <v>1240</v>
      </c>
      <c r="F1890" s="1" t="s">
        <v>1461</v>
      </c>
      <c r="G1890" s="1" t="s">
        <v>1462</v>
      </c>
      <c r="H1890" s="1" t="s">
        <v>15</v>
      </c>
      <c r="I1890" s="3" t="str">
        <f>"38"</f>
        <v>38</v>
      </c>
      <c r="J1890" s="3">
        <v>434.4</v>
      </c>
      <c r="K1890" s="2">
        <v>45850</v>
      </c>
      <c r="L1890" s="2">
        <v>45875</v>
      </c>
      <c r="M1890" s="1" t="s">
        <v>6319</v>
      </c>
      <c r="N1890" s="1" t="s">
        <v>6318</v>
      </c>
    </row>
    <row r="1891" spans="1:14" x14ac:dyDescent="0.35">
      <c r="A1891" s="1" t="s">
        <v>4321</v>
      </c>
      <c r="B1891" s="3" t="s">
        <v>4253</v>
      </c>
      <c r="C1891" s="1" t="s">
        <v>4271</v>
      </c>
      <c r="D1891" s="1" t="s">
        <v>6317</v>
      </c>
      <c r="E1891" s="1" t="str">
        <f>"5855"</f>
        <v>5855</v>
      </c>
      <c r="F1891" s="1" t="str">
        <f>"015847217"</f>
        <v>015847217</v>
      </c>
      <c r="G1891" s="1" t="s">
        <v>1942</v>
      </c>
      <c r="H1891" s="1" t="s">
        <v>15</v>
      </c>
      <c r="I1891" s="3" t="str">
        <f>"14"</f>
        <v>14</v>
      </c>
      <c r="J1891" s="3" t="str">
        <f>"35674"</f>
        <v>35674</v>
      </c>
      <c r="K1891" s="2">
        <v>45846</v>
      </c>
      <c r="L1891" s="2">
        <v>45875</v>
      </c>
      <c r="M1891" s="1" t="s">
        <v>4998</v>
      </c>
      <c r="N1891" s="1" t="s">
        <v>6316</v>
      </c>
    </row>
    <row r="1892" spans="1:14" x14ac:dyDescent="0.35">
      <c r="A1892" s="1" t="s">
        <v>4321</v>
      </c>
      <c r="B1892" s="3" t="s">
        <v>2494</v>
      </c>
      <c r="C1892" s="1" t="s">
        <v>2506</v>
      </c>
      <c r="D1892" s="1" t="s">
        <v>6315</v>
      </c>
      <c r="E1892" s="1" t="str">
        <f>"5855"</f>
        <v>5855</v>
      </c>
      <c r="F1892" s="1" t="str">
        <f>"015847217"</f>
        <v>015847217</v>
      </c>
      <c r="G1892" s="1" t="s">
        <v>1942</v>
      </c>
      <c r="H1892" s="1" t="s">
        <v>15</v>
      </c>
      <c r="I1892" s="3" t="str">
        <f>"30"</f>
        <v>30</v>
      </c>
      <c r="J1892" s="3" t="str">
        <f>"35674"</f>
        <v>35674</v>
      </c>
      <c r="K1892" s="2">
        <v>45846</v>
      </c>
      <c r="L1892" s="2">
        <v>45875</v>
      </c>
      <c r="M1892" s="1" t="s">
        <v>6314</v>
      </c>
      <c r="N1892" s="1" t="s">
        <v>6313</v>
      </c>
    </row>
    <row r="1893" spans="1:14" x14ac:dyDescent="0.35">
      <c r="A1893" s="1" t="s">
        <v>4321</v>
      </c>
      <c r="B1893" s="3" t="s">
        <v>2248</v>
      </c>
      <c r="C1893" s="1" t="s">
        <v>2265</v>
      </c>
      <c r="D1893" s="1" t="s">
        <v>6312</v>
      </c>
      <c r="E1893" s="1" t="str">
        <f>"5855"</f>
        <v>5855</v>
      </c>
      <c r="F1893" s="1" t="str">
        <f>"015847217"</f>
        <v>015847217</v>
      </c>
      <c r="G1893" s="1" t="s">
        <v>1942</v>
      </c>
      <c r="H1893" s="1" t="s">
        <v>15</v>
      </c>
      <c r="I1893" s="3" t="str">
        <f>"20"</f>
        <v>20</v>
      </c>
      <c r="J1893" s="3" t="str">
        <f>"35674"</f>
        <v>35674</v>
      </c>
      <c r="K1893" s="2">
        <v>45844</v>
      </c>
      <c r="L1893" s="2">
        <v>45875</v>
      </c>
      <c r="M1893" s="1" t="s">
        <v>6311</v>
      </c>
      <c r="N1893" s="1" t="s">
        <v>6310</v>
      </c>
    </row>
    <row r="1894" spans="1:14" x14ac:dyDescent="0.35">
      <c r="A1894" s="1" t="s">
        <v>4321</v>
      </c>
      <c r="B1894" s="3" t="s">
        <v>601</v>
      </c>
      <c r="C1894" s="1" t="s">
        <v>5103</v>
      </c>
      <c r="D1894" s="1" t="s">
        <v>6309</v>
      </c>
      <c r="E1894" s="1" t="str">
        <f>"5855"</f>
        <v>5855</v>
      </c>
      <c r="F1894" s="1" t="str">
        <f>"015847217"</f>
        <v>015847217</v>
      </c>
      <c r="G1894" s="1" t="s">
        <v>1942</v>
      </c>
      <c r="H1894" s="1" t="s">
        <v>15</v>
      </c>
      <c r="I1894" s="3" t="str">
        <f>"70"</f>
        <v>70</v>
      </c>
      <c r="J1894" s="3" t="str">
        <f>"35674"</f>
        <v>35674</v>
      </c>
      <c r="K1894" s="2">
        <v>45844</v>
      </c>
      <c r="L1894" s="2">
        <v>45875</v>
      </c>
      <c r="M1894" s="1" t="s">
        <v>6308</v>
      </c>
      <c r="N1894" s="1" t="s">
        <v>6307</v>
      </c>
    </row>
    <row r="1895" spans="1:14" x14ac:dyDescent="0.35">
      <c r="A1895" s="1" t="s">
        <v>4321</v>
      </c>
      <c r="B1895" s="3" t="s">
        <v>3513</v>
      </c>
      <c r="C1895" s="1" t="s">
        <v>3801</v>
      </c>
      <c r="D1895" s="1" t="s">
        <v>6306</v>
      </c>
      <c r="E1895" s="1" t="str">
        <f>"8340"</f>
        <v>8340</v>
      </c>
      <c r="F1895" s="1" t="str">
        <f>"015331669"</f>
        <v>015331669</v>
      </c>
      <c r="G1895" s="1" t="s">
        <v>6305</v>
      </c>
      <c r="H1895" s="1" t="s">
        <v>15</v>
      </c>
      <c r="I1895" s="3" t="str">
        <f>"1"</f>
        <v>1</v>
      </c>
      <c r="J1895" s="3">
        <v>57599.19</v>
      </c>
      <c r="K1895" s="2">
        <v>45836</v>
      </c>
      <c r="L1895" s="2">
        <v>45875</v>
      </c>
      <c r="M1895" s="1" t="s">
        <v>6304</v>
      </c>
      <c r="N1895" s="1" t="s">
        <v>6303</v>
      </c>
    </row>
    <row r="1896" spans="1:14" x14ac:dyDescent="0.35">
      <c r="A1896" s="1" t="s">
        <v>4321</v>
      </c>
      <c r="B1896" s="3" t="s">
        <v>2000</v>
      </c>
      <c r="C1896" s="1" t="s">
        <v>2078</v>
      </c>
      <c r="D1896" s="1" t="s">
        <v>6302</v>
      </c>
      <c r="E1896" s="1" t="str">
        <f>"4210"</f>
        <v>4210</v>
      </c>
      <c r="F1896" s="1" t="s">
        <v>3470</v>
      </c>
      <c r="G1896" s="1" t="s">
        <v>3471</v>
      </c>
      <c r="H1896" s="1" t="s">
        <v>15</v>
      </c>
      <c r="I1896" s="3" t="str">
        <f>"1"</f>
        <v>1</v>
      </c>
      <c r="J1896" s="3" t="str">
        <f>"1000000"</f>
        <v>1000000</v>
      </c>
      <c r="K1896" s="2">
        <v>45830</v>
      </c>
      <c r="L1896" s="2">
        <v>45875</v>
      </c>
      <c r="M1896" s="1" t="s">
        <v>6301</v>
      </c>
      <c r="N1896" s="1" t="s">
        <v>6300</v>
      </c>
    </row>
    <row r="1897" spans="1:14" x14ac:dyDescent="0.35">
      <c r="A1897" s="1" t="s">
        <v>4321</v>
      </c>
      <c r="B1897" s="3" t="s">
        <v>3513</v>
      </c>
      <c r="C1897" s="1" t="s">
        <v>4547</v>
      </c>
      <c r="D1897" s="1" t="s">
        <v>6299</v>
      </c>
      <c r="E1897" s="1" t="str">
        <f>"2320"</f>
        <v>2320</v>
      </c>
      <c r="F1897" s="1" t="str">
        <f>"014476343"</f>
        <v>014476343</v>
      </c>
      <c r="G1897" s="1" t="s">
        <v>373</v>
      </c>
      <c r="H1897" s="1" t="s">
        <v>15</v>
      </c>
      <c r="I1897" s="3" t="str">
        <f>"1"</f>
        <v>1</v>
      </c>
      <c r="J1897" s="3" t="str">
        <f>"176428"</f>
        <v>176428</v>
      </c>
      <c r="K1897" s="2">
        <v>45824</v>
      </c>
      <c r="L1897" s="2">
        <v>45875</v>
      </c>
      <c r="M1897" s="1" t="s">
        <v>6298</v>
      </c>
      <c r="N1897" s="1" t="s">
        <v>6297</v>
      </c>
    </row>
    <row r="1898" spans="1:14" x14ac:dyDescent="0.35">
      <c r="A1898" s="1" t="s">
        <v>4321</v>
      </c>
      <c r="B1898" s="3" t="s">
        <v>2000</v>
      </c>
      <c r="C1898" s="1" t="s">
        <v>2022</v>
      </c>
      <c r="D1898" s="1" t="s">
        <v>6296</v>
      </c>
      <c r="E1898" s="1" t="str">
        <f>"1940"</f>
        <v>1940</v>
      </c>
      <c r="F1898" s="1" t="s">
        <v>567</v>
      </c>
      <c r="G1898" s="1" t="s">
        <v>568</v>
      </c>
      <c r="H1898" s="1" t="s">
        <v>15</v>
      </c>
      <c r="I1898" s="3" t="str">
        <f>"1"</f>
        <v>1</v>
      </c>
      <c r="J1898" s="3" t="str">
        <f>"44916"</f>
        <v>44916</v>
      </c>
      <c r="K1898" s="2">
        <v>45819</v>
      </c>
      <c r="L1898" s="2">
        <v>45875</v>
      </c>
      <c r="M1898" s="1" t="s">
        <v>6295</v>
      </c>
      <c r="N1898" s="1" t="s">
        <v>6294</v>
      </c>
    </row>
    <row r="1899" spans="1:14" x14ac:dyDescent="0.35">
      <c r="A1899" s="1" t="s">
        <v>4321</v>
      </c>
      <c r="B1899" s="3" t="s">
        <v>3513</v>
      </c>
      <c r="C1899" s="1" t="s">
        <v>3672</v>
      </c>
      <c r="D1899" s="1" t="s">
        <v>6293</v>
      </c>
      <c r="E1899" s="1" t="str">
        <f>"5660"</f>
        <v>5660</v>
      </c>
      <c r="F1899" s="1" t="str">
        <f>"014956363"</f>
        <v>014956363</v>
      </c>
      <c r="G1899" s="1" t="s">
        <v>171</v>
      </c>
      <c r="H1899" s="1" t="s">
        <v>15</v>
      </c>
      <c r="I1899" s="3" t="str">
        <f>"402"</f>
        <v>402</v>
      </c>
      <c r="J1899" s="3">
        <v>809.91</v>
      </c>
      <c r="K1899" s="2">
        <v>45873</v>
      </c>
      <c r="L1899" s="2">
        <v>45874</v>
      </c>
      <c r="M1899" s="1" t="s">
        <v>6292</v>
      </c>
      <c r="N1899" s="1" t="s">
        <v>4343</v>
      </c>
    </row>
    <row r="1900" spans="1:14" x14ac:dyDescent="0.35">
      <c r="A1900" s="1" t="s">
        <v>4321</v>
      </c>
      <c r="B1900" s="3" t="s">
        <v>1699</v>
      </c>
      <c r="C1900" s="1" t="s">
        <v>1750</v>
      </c>
      <c r="D1900" s="1" t="s">
        <v>6291</v>
      </c>
      <c r="E1900" s="1" t="str">
        <f>"8145"</f>
        <v>8145</v>
      </c>
      <c r="F1900" s="1" t="s">
        <v>1602</v>
      </c>
      <c r="G1900" s="1" t="s">
        <v>1603</v>
      </c>
      <c r="H1900" s="1" t="s">
        <v>15</v>
      </c>
      <c r="I1900" s="3" t="str">
        <f>"1"</f>
        <v>1</v>
      </c>
      <c r="J1900" s="3" t="str">
        <f>"350"</f>
        <v>350</v>
      </c>
      <c r="K1900" s="2">
        <v>45873</v>
      </c>
      <c r="L1900" s="2">
        <v>45874</v>
      </c>
      <c r="M1900" s="1" t="s">
        <v>6290</v>
      </c>
      <c r="N1900" s="1" t="s">
        <v>6289</v>
      </c>
    </row>
    <row r="1901" spans="1:14" x14ac:dyDescent="0.35">
      <c r="A1901" s="1" t="s">
        <v>4321</v>
      </c>
      <c r="B1901" s="3" t="s">
        <v>2494</v>
      </c>
      <c r="C1901" s="1" t="s">
        <v>2514</v>
      </c>
      <c r="D1901" s="1" t="s">
        <v>6288</v>
      </c>
      <c r="E1901" s="1" t="str">
        <f>"7110"</f>
        <v>7110</v>
      </c>
      <c r="F1901" s="1" t="s">
        <v>2939</v>
      </c>
      <c r="G1901" s="1" t="s">
        <v>2940</v>
      </c>
      <c r="H1901" s="1" t="s">
        <v>15</v>
      </c>
      <c r="I1901" s="3" t="str">
        <f>"9"</f>
        <v>9</v>
      </c>
      <c r="J1901" s="3" t="str">
        <f>"50"</f>
        <v>50</v>
      </c>
      <c r="K1901" s="2">
        <v>45864</v>
      </c>
      <c r="L1901" s="2">
        <v>45874</v>
      </c>
      <c r="M1901" s="1" t="s">
        <v>6287</v>
      </c>
      <c r="N1901" s="1" t="s">
        <v>6286</v>
      </c>
    </row>
    <row r="1902" spans="1:14" x14ac:dyDescent="0.35">
      <c r="A1902" s="1" t="s">
        <v>4321</v>
      </c>
      <c r="B1902" s="3" t="s">
        <v>806</v>
      </c>
      <c r="C1902" s="1" t="s">
        <v>1000</v>
      </c>
      <c r="D1902" s="1" t="s">
        <v>6285</v>
      </c>
      <c r="E1902" s="1" t="str">
        <f>"1005"</f>
        <v>1005</v>
      </c>
      <c r="F1902" s="1" t="s">
        <v>1013</v>
      </c>
      <c r="G1902" s="1" t="s">
        <v>1014</v>
      </c>
      <c r="H1902" s="1" t="s">
        <v>15</v>
      </c>
      <c r="I1902" s="3" t="str">
        <f>"12"</f>
        <v>12</v>
      </c>
      <c r="J1902" s="3" t="str">
        <f>"175"</f>
        <v>175</v>
      </c>
      <c r="K1902" s="2">
        <v>45863</v>
      </c>
      <c r="L1902" s="2">
        <v>45874</v>
      </c>
      <c r="M1902" s="1" t="s">
        <v>1015</v>
      </c>
      <c r="N1902" s="1" t="s">
        <v>6284</v>
      </c>
    </row>
    <row r="1903" spans="1:14" x14ac:dyDescent="0.35">
      <c r="A1903" s="1" t="s">
        <v>4321</v>
      </c>
      <c r="B1903" s="3" t="s">
        <v>806</v>
      </c>
      <c r="C1903" s="1" t="s">
        <v>1000</v>
      </c>
      <c r="D1903" s="1" t="s">
        <v>6283</v>
      </c>
      <c r="E1903" s="1" t="str">
        <f>"3446"</f>
        <v>3446</v>
      </c>
      <c r="F1903" s="1" t="str">
        <f>"001963905"</f>
        <v>001963905</v>
      </c>
      <c r="G1903" s="1" t="s">
        <v>1087</v>
      </c>
      <c r="H1903" s="1" t="s">
        <v>19</v>
      </c>
      <c r="I1903" s="3" t="str">
        <f>"1"</f>
        <v>1</v>
      </c>
      <c r="J1903" s="3">
        <v>9216.39</v>
      </c>
      <c r="K1903" s="2">
        <v>45863</v>
      </c>
      <c r="L1903" s="2">
        <v>45874</v>
      </c>
      <c r="M1903" s="1" t="s">
        <v>6282</v>
      </c>
      <c r="N1903" s="1" t="s">
        <v>6281</v>
      </c>
    </row>
    <row r="1904" spans="1:14" x14ac:dyDescent="0.35">
      <c r="A1904" s="1" t="s">
        <v>4321</v>
      </c>
      <c r="B1904" s="3" t="s">
        <v>806</v>
      </c>
      <c r="C1904" s="1" t="s">
        <v>1000</v>
      </c>
      <c r="D1904" s="1" t="s">
        <v>6280</v>
      </c>
      <c r="E1904" s="1" t="str">
        <f>"6130"</f>
        <v>6130</v>
      </c>
      <c r="F1904" s="1" t="s">
        <v>1854</v>
      </c>
      <c r="G1904" s="1" t="s">
        <v>1855</v>
      </c>
      <c r="H1904" s="1" t="s">
        <v>15</v>
      </c>
      <c r="I1904" s="3" t="str">
        <f>"2"</f>
        <v>2</v>
      </c>
      <c r="J1904" s="3">
        <v>53.9</v>
      </c>
      <c r="K1904" s="2">
        <v>45863</v>
      </c>
      <c r="L1904" s="2">
        <v>45874</v>
      </c>
      <c r="M1904" s="1" t="s">
        <v>6279</v>
      </c>
      <c r="N1904" s="1" t="s">
        <v>6278</v>
      </c>
    </row>
    <row r="1905" spans="1:14" x14ac:dyDescent="0.35">
      <c r="A1905" s="1" t="s">
        <v>4321</v>
      </c>
      <c r="B1905" s="3" t="s">
        <v>93</v>
      </c>
      <c r="C1905" s="1" t="s">
        <v>312</v>
      </c>
      <c r="D1905" s="1" t="s">
        <v>6277</v>
      </c>
      <c r="E1905" s="1" t="str">
        <f>"4910"</f>
        <v>4910</v>
      </c>
      <c r="F1905" s="1" t="s">
        <v>264</v>
      </c>
      <c r="G1905" s="1" t="s">
        <v>265</v>
      </c>
      <c r="H1905" s="1" t="s">
        <v>15</v>
      </c>
      <c r="I1905" s="3" t="str">
        <f>"1"</f>
        <v>1</v>
      </c>
      <c r="J1905" s="3" t="str">
        <f>"7000"</f>
        <v>7000</v>
      </c>
      <c r="K1905" s="2">
        <v>45852</v>
      </c>
      <c r="L1905" s="2">
        <v>45874</v>
      </c>
      <c r="M1905" s="1" t="s">
        <v>6276</v>
      </c>
      <c r="N1905" s="1" t="s">
        <v>6275</v>
      </c>
    </row>
    <row r="1906" spans="1:14" x14ac:dyDescent="0.35">
      <c r="A1906" s="1" t="s">
        <v>4321</v>
      </c>
      <c r="B1906" s="3" t="s">
        <v>601</v>
      </c>
      <c r="C1906" s="1" t="s">
        <v>5103</v>
      </c>
      <c r="D1906" s="1" t="s">
        <v>6274</v>
      </c>
      <c r="E1906" s="1" t="str">
        <f>"5855"</f>
        <v>5855</v>
      </c>
      <c r="F1906" s="1" t="str">
        <f>"016800712"</f>
        <v>016800712</v>
      </c>
      <c r="G1906" s="1" t="s">
        <v>2467</v>
      </c>
      <c r="H1906" s="1" t="s">
        <v>15</v>
      </c>
      <c r="I1906" s="3" t="str">
        <f>"93"</f>
        <v>93</v>
      </c>
      <c r="J1906" s="3" t="str">
        <f>"3000"</f>
        <v>3000</v>
      </c>
      <c r="K1906" s="2">
        <v>45851</v>
      </c>
      <c r="L1906" s="2">
        <v>45874</v>
      </c>
      <c r="M1906" s="1" t="s">
        <v>6271</v>
      </c>
      <c r="N1906" s="1" t="s">
        <v>6273</v>
      </c>
    </row>
    <row r="1907" spans="1:14" x14ac:dyDescent="0.35">
      <c r="A1907" s="1" t="s">
        <v>4321</v>
      </c>
      <c r="B1907" s="3" t="s">
        <v>601</v>
      </c>
      <c r="C1907" s="1" t="s">
        <v>5103</v>
      </c>
      <c r="D1907" s="1" t="s">
        <v>6272</v>
      </c>
      <c r="E1907" s="1" t="str">
        <f>"5855"</f>
        <v>5855</v>
      </c>
      <c r="F1907" s="1" t="str">
        <f>"015997164"</f>
        <v>015997164</v>
      </c>
      <c r="G1907" s="1" t="s">
        <v>703</v>
      </c>
      <c r="H1907" s="1" t="s">
        <v>15</v>
      </c>
      <c r="I1907" s="3" t="str">
        <f>"36"</f>
        <v>36</v>
      </c>
      <c r="J1907" s="3">
        <v>2696.64</v>
      </c>
      <c r="K1907" s="2">
        <v>45851</v>
      </c>
      <c r="L1907" s="2">
        <v>45874</v>
      </c>
      <c r="M1907" s="1" t="s">
        <v>6271</v>
      </c>
      <c r="N1907" s="1" t="s">
        <v>6270</v>
      </c>
    </row>
    <row r="1908" spans="1:14" x14ac:dyDescent="0.35">
      <c r="A1908" s="1" t="s">
        <v>4321</v>
      </c>
      <c r="B1908" s="3" t="s">
        <v>2248</v>
      </c>
      <c r="C1908" s="1" t="s">
        <v>2265</v>
      </c>
      <c r="D1908" s="1" t="s">
        <v>6269</v>
      </c>
      <c r="E1908" s="1" t="str">
        <f>"5855"</f>
        <v>5855</v>
      </c>
      <c r="F1908" s="1" t="str">
        <f>"012468271"</f>
        <v>012468271</v>
      </c>
      <c r="G1908" s="1" t="s">
        <v>3368</v>
      </c>
      <c r="H1908" s="1" t="s">
        <v>15</v>
      </c>
      <c r="I1908" s="3" t="str">
        <f>"20"</f>
        <v>20</v>
      </c>
      <c r="J1908" s="3">
        <v>15.38</v>
      </c>
      <c r="K1908" s="2">
        <v>45844</v>
      </c>
      <c r="L1908" s="2">
        <v>45874</v>
      </c>
      <c r="M1908" s="1" t="s">
        <v>6268</v>
      </c>
      <c r="N1908" s="1" t="s">
        <v>6267</v>
      </c>
    </row>
    <row r="1909" spans="1:14" x14ac:dyDescent="0.35">
      <c r="A1909" s="1" t="s">
        <v>4321</v>
      </c>
      <c r="B1909" s="3" t="s">
        <v>2145</v>
      </c>
      <c r="C1909" s="1" t="s">
        <v>2153</v>
      </c>
      <c r="D1909" s="1" t="s">
        <v>6266</v>
      </c>
      <c r="E1909" s="1" t="str">
        <f>"2410"</f>
        <v>2410</v>
      </c>
      <c r="F1909" s="1" t="str">
        <f>"011098003"</f>
        <v>011098003</v>
      </c>
      <c r="G1909" s="1" t="s">
        <v>2233</v>
      </c>
      <c r="H1909" s="1" t="s">
        <v>15</v>
      </c>
      <c r="I1909" s="3" t="str">
        <f>"1"</f>
        <v>1</v>
      </c>
      <c r="J1909" s="3" t="str">
        <f>"75042"</f>
        <v>75042</v>
      </c>
      <c r="K1909" s="2">
        <v>45843</v>
      </c>
      <c r="L1909" s="2">
        <v>45874</v>
      </c>
      <c r="M1909" s="1" t="s">
        <v>6265</v>
      </c>
      <c r="N1909" s="1" t="s">
        <v>6264</v>
      </c>
    </row>
    <row r="1910" spans="1:14" x14ac:dyDescent="0.35">
      <c r="A1910" s="1" t="s">
        <v>4321</v>
      </c>
      <c r="B1910" s="3" t="s">
        <v>93</v>
      </c>
      <c r="C1910" s="1" t="s">
        <v>408</v>
      </c>
      <c r="D1910" s="1" t="s">
        <v>6263</v>
      </c>
      <c r="E1910" s="1" t="str">
        <f>"2310"</f>
        <v>2310</v>
      </c>
      <c r="F1910" s="1" t="s">
        <v>413</v>
      </c>
      <c r="G1910" s="1" t="s">
        <v>414</v>
      </c>
      <c r="H1910" s="1" t="s">
        <v>15</v>
      </c>
      <c r="I1910" s="3" t="str">
        <f>"1"</f>
        <v>1</v>
      </c>
      <c r="J1910" s="3">
        <v>12553.95</v>
      </c>
      <c r="K1910" s="2">
        <v>45837</v>
      </c>
      <c r="L1910" s="2">
        <v>45874</v>
      </c>
      <c r="M1910" s="1" t="s">
        <v>6262</v>
      </c>
      <c r="N1910" s="1" t="s">
        <v>6261</v>
      </c>
    </row>
    <row r="1911" spans="1:14" x14ac:dyDescent="0.35">
      <c r="A1911" s="1" t="s">
        <v>4321</v>
      </c>
      <c r="B1911" s="3" t="s">
        <v>2244</v>
      </c>
      <c r="C1911" s="1" t="s">
        <v>2245</v>
      </c>
      <c r="D1911" s="1" t="s">
        <v>6260</v>
      </c>
      <c r="E1911" s="1" t="str">
        <f>"5855"</f>
        <v>5855</v>
      </c>
      <c r="F1911" s="1" t="str">
        <f>"015330555"</f>
        <v>015330555</v>
      </c>
      <c r="G1911" s="1" t="s">
        <v>2656</v>
      </c>
      <c r="H1911" s="1" t="s">
        <v>15</v>
      </c>
      <c r="I1911" s="3" t="str">
        <f>"5"</f>
        <v>5</v>
      </c>
      <c r="J1911" s="3" t="str">
        <f>"1800"</f>
        <v>1800</v>
      </c>
      <c r="K1911" s="2">
        <v>45832</v>
      </c>
      <c r="L1911" s="2">
        <v>45874</v>
      </c>
      <c r="M1911" s="1" t="s">
        <v>6259</v>
      </c>
      <c r="N1911" s="1" t="s">
        <v>6258</v>
      </c>
    </row>
    <row r="1912" spans="1:14" x14ac:dyDescent="0.35">
      <c r="A1912" s="1" t="s">
        <v>4321</v>
      </c>
      <c r="B1912" s="3" t="s">
        <v>93</v>
      </c>
      <c r="C1912" s="1" t="s">
        <v>319</v>
      </c>
      <c r="D1912" s="1" t="s">
        <v>6257</v>
      </c>
      <c r="E1912" s="1" t="str">
        <f>"2330"</f>
        <v>2330</v>
      </c>
      <c r="F1912" s="1" t="str">
        <f>"011087367"</f>
        <v>011087367</v>
      </c>
      <c r="G1912" s="1" t="s">
        <v>1698</v>
      </c>
      <c r="H1912" s="1" t="s">
        <v>15</v>
      </c>
      <c r="I1912" s="3" t="str">
        <f>"1"</f>
        <v>1</v>
      </c>
      <c r="J1912" s="3" t="str">
        <f>"22000"</f>
        <v>22000</v>
      </c>
      <c r="K1912" s="2">
        <v>45815</v>
      </c>
      <c r="L1912" s="2">
        <v>45874</v>
      </c>
      <c r="M1912" s="1" t="s">
        <v>6256</v>
      </c>
      <c r="N1912" s="1" t="s">
        <v>6255</v>
      </c>
    </row>
    <row r="1913" spans="1:14" x14ac:dyDescent="0.35">
      <c r="A1913" s="1" t="s">
        <v>4321</v>
      </c>
      <c r="B1913" s="3" t="s">
        <v>1944</v>
      </c>
      <c r="C1913" s="1" t="s">
        <v>1971</v>
      </c>
      <c r="D1913" s="1" t="s">
        <v>6254</v>
      </c>
      <c r="E1913" s="1" t="str">
        <f>"2320"</f>
        <v>2320</v>
      </c>
      <c r="F1913" s="1" t="s">
        <v>321</v>
      </c>
      <c r="G1913" s="1" t="s">
        <v>322</v>
      </c>
      <c r="H1913" s="1" t="s">
        <v>15</v>
      </c>
      <c r="I1913" s="3" t="str">
        <f>"1"</f>
        <v>1</v>
      </c>
      <c r="J1913" s="3" t="str">
        <f>"99000"</f>
        <v>99000</v>
      </c>
      <c r="K1913" s="2">
        <v>45810</v>
      </c>
      <c r="L1913" s="2">
        <v>45874</v>
      </c>
      <c r="M1913" s="1" t="s">
        <v>6253</v>
      </c>
      <c r="N1913" s="1" t="s">
        <v>6252</v>
      </c>
    </row>
    <row r="1914" spans="1:14" x14ac:dyDescent="0.35">
      <c r="A1914" s="1" t="s">
        <v>4321</v>
      </c>
      <c r="B1914" s="3" t="s">
        <v>2248</v>
      </c>
      <c r="C1914" s="1" t="s">
        <v>2357</v>
      </c>
      <c r="D1914" s="1" t="s">
        <v>6251</v>
      </c>
      <c r="E1914" s="1" t="str">
        <f>"5855"</f>
        <v>5855</v>
      </c>
      <c r="F1914" s="1" t="str">
        <f>"015790062"</f>
        <v>015790062</v>
      </c>
      <c r="G1914" s="1" t="s">
        <v>703</v>
      </c>
      <c r="H1914" s="1" t="s">
        <v>15</v>
      </c>
      <c r="I1914" s="3" t="str">
        <f>"11"</f>
        <v>11</v>
      </c>
      <c r="J1914" s="3" t="str">
        <f>"906"</f>
        <v>906</v>
      </c>
      <c r="K1914" s="2">
        <v>45872</v>
      </c>
      <c r="L1914" s="2">
        <v>45873</v>
      </c>
      <c r="M1914" s="1" t="s">
        <v>6250</v>
      </c>
      <c r="N1914" s="1" t="s">
        <v>4387</v>
      </c>
    </row>
    <row r="1915" spans="1:14" x14ac:dyDescent="0.35">
      <c r="A1915" s="1" t="s">
        <v>4321</v>
      </c>
      <c r="B1915" s="3" t="s">
        <v>1857</v>
      </c>
      <c r="C1915" s="1" t="s">
        <v>1869</v>
      </c>
      <c r="D1915" s="1" t="s">
        <v>6249</v>
      </c>
      <c r="E1915" s="1" t="str">
        <f>"3930"</f>
        <v>3930</v>
      </c>
      <c r="F1915" s="1" t="s">
        <v>150</v>
      </c>
      <c r="G1915" s="1" t="s">
        <v>151</v>
      </c>
      <c r="H1915" s="1" t="s">
        <v>15</v>
      </c>
      <c r="I1915" s="3" t="str">
        <f>"1"</f>
        <v>1</v>
      </c>
      <c r="J1915" s="3">
        <v>48519.91</v>
      </c>
      <c r="K1915" s="2">
        <v>45871</v>
      </c>
      <c r="L1915" s="2">
        <v>45873</v>
      </c>
      <c r="M1915" s="1" t="s">
        <v>6248</v>
      </c>
      <c r="N1915" s="1" t="s">
        <v>4343</v>
      </c>
    </row>
    <row r="1916" spans="1:14" x14ac:dyDescent="0.35">
      <c r="A1916" s="1" t="s">
        <v>4321</v>
      </c>
      <c r="B1916" s="3" t="s">
        <v>3183</v>
      </c>
      <c r="C1916" s="1" t="s">
        <v>3352</v>
      </c>
      <c r="D1916" s="1" t="s">
        <v>6247</v>
      </c>
      <c r="E1916" s="1" t="str">
        <f>"4910"</f>
        <v>4910</v>
      </c>
      <c r="F1916" s="1" t="str">
        <f>"016946886"</f>
        <v>016946886</v>
      </c>
      <c r="G1916" s="1" t="s">
        <v>685</v>
      </c>
      <c r="H1916" s="1" t="s">
        <v>15</v>
      </c>
      <c r="I1916" s="3" t="str">
        <f>"1"</f>
        <v>1</v>
      </c>
      <c r="J1916" s="3">
        <v>99489.88</v>
      </c>
      <c r="K1916" s="2">
        <v>45867</v>
      </c>
      <c r="L1916" s="2">
        <v>45873</v>
      </c>
      <c r="M1916" s="1" t="s">
        <v>6246</v>
      </c>
      <c r="N1916" s="1" t="s">
        <v>6245</v>
      </c>
    </row>
    <row r="1917" spans="1:14" x14ac:dyDescent="0.35">
      <c r="A1917" s="1" t="s">
        <v>4321</v>
      </c>
      <c r="B1917" s="3" t="s">
        <v>3183</v>
      </c>
      <c r="C1917" s="1" t="s">
        <v>3357</v>
      </c>
      <c r="D1917" s="1" t="s">
        <v>6244</v>
      </c>
      <c r="E1917" s="1" t="str">
        <f>"2320"</f>
        <v>2320</v>
      </c>
      <c r="F1917" s="1" t="str">
        <f>"011162959"</f>
        <v>011162959</v>
      </c>
      <c r="G1917" s="1" t="s">
        <v>117</v>
      </c>
      <c r="H1917" s="1" t="s">
        <v>15</v>
      </c>
      <c r="I1917" s="3" t="str">
        <f>"1"</f>
        <v>1</v>
      </c>
      <c r="J1917" s="3" t="str">
        <f>"85000"</f>
        <v>85000</v>
      </c>
      <c r="K1917" s="2">
        <v>45850</v>
      </c>
      <c r="L1917" s="2">
        <v>45873</v>
      </c>
      <c r="M1917" s="1" t="s">
        <v>6243</v>
      </c>
      <c r="N1917" s="1" t="s">
        <v>6242</v>
      </c>
    </row>
    <row r="1918" spans="1:14" x14ac:dyDescent="0.35">
      <c r="A1918" s="1" t="s">
        <v>4321</v>
      </c>
      <c r="B1918" s="3" t="s">
        <v>3513</v>
      </c>
      <c r="C1918" s="1" t="s">
        <v>3684</v>
      </c>
      <c r="D1918" s="1" t="s">
        <v>6241</v>
      </c>
      <c r="E1918" s="1" t="str">
        <f>"8465"</f>
        <v>8465</v>
      </c>
      <c r="F1918" s="1" t="str">
        <f>"011178699"</f>
        <v>011178699</v>
      </c>
      <c r="G1918" s="1" t="s">
        <v>975</v>
      </c>
      <c r="H1918" s="1" t="s">
        <v>15</v>
      </c>
      <c r="I1918" s="3" t="str">
        <f>"6"</f>
        <v>6</v>
      </c>
      <c r="J1918" s="3">
        <v>27.54</v>
      </c>
      <c r="K1918" s="2">
        <v>45849</v>
      </c>
      <c r="L1918" s="2">
        <v>45873</v>
      </c>
      <c r="M1918" s="1" t="s">
        <v>6240</v>
      </c>
      <c r="N1918" s="1" t="s">
        <v>6239</v>
      </c>
    </row>
    <row r="1919" spans="1:14" x14ac:dyDescent="0.35">
      <c r="A1919" s="1" t="s">
        <v>4321</v>
      </c>
      <c r="B1919" s="3" t="s">
        <v>2248</v>
      </c>
      <c r="C1919" s="1" t="s">
        <v>2326</v>
      </c>
      <c r="D1919" s="1" t="s">
        <v>6238</v>
      </c>
      <c r="E1919" s="1" t="str">
        <f>"6115"</f>
        <v>6115</v>
      </c>
      <c r="F1919" s="1" t="str">
        <f>"016122549"</f>
        <v>016122549</v>
      </c>
      <c r="G1919" s="1" t="s">
        <v>1392</v>
      </c>
      <c r="H1919" s="1" t="s">
        <v>15</v>
      </c>
      <c r="I1919" s="3" t="str">
        <f>"1"</f>
        <v>1</v>
      </c>
      <c r="J1919" s="3" t="str">
        <f>"7566"</f>
        <v>7566</v>
      </c>
      <c r="K1919" s="2">
        <v>45846</v>
      </c>
      <c r="L1919" s="2">
        <v>45873</v>
      </c>
      <c r="M1919" s="1" t="s">
        <v>6237</v>
      </c>
      <c r="N1919" s="1" t="s">
        <v>6236</v>
      </c>
    </row>
    <row r="1920" spans="1:14" x14ac:dyDescent="0.35">
      <c r="A1920" s="1" t="s">
        <v>4321</v>
      </c>
      <c r="B1920" s="3" t="s">
        <v>93</v>
      </c>
      <c r="C1920" s="1" t="s">
        <v>109</v>
      </c>
      <c r="D1920" s="1" t="s">
        <v>6235</v>
      </c>
      <c r="E1920" s="1" t="str">
        <f>"2320"</f>
        <v>2320</v>
      </c>
      <c r="F1920" s="1" t="str">
        <f>"014473888"</f>
        <v>014473888</v>
      </c>
      <c r="G1920" s="1" t="s">
        <v>373</v>
      </c>
      <c r="H1920" s="1" t="s">
        <v>15</v>
      </c>
      <c r="I1920" s="3" t="str">
        <f>"1"</f>
        <v>1</v>
      </c>
      <c r="J1920" s="3" t="str">
        <f>"149600"</f>
        <v>149600</v>
      </c>
      <c r="K1920" s="2">
        <v>45845</v>
      </c>
      <c r="L1920" s="2">
        <v>45873</v>
      </c>
      <c r="M1920" s="1" t="s">
        <v>6234</v>
      </c>
      <c r="N1920" s="1" t="s">
        <v>6233</v>
      </c>
    </row>
    <row r="1921" spans="1:14" x14ac:dyDescent="0.35">
      <c r="A1921" s="1" t="s">
        <v>4321</v>
      </c>
      <c r="B1921" s="3" t="s">
        <v>2145</v>
      </c>
      <c r="C1921" s="1" t="s">
        <v>2153</v>
      </c>
      <c r="D1921" s="1" t="s">
        <v>6232</v>
      </c>
      <c r="E1921" s="1" t="str">
        <f>"2420"</f>
        <v>2420</v>
      </c>
      <c r="F1921" s="1" t="str">
        <f>"014493014"</f>
        <v>014493014</v>
      </c>
      <c r="G1921" s="1" t="s">
        <v>1975</v>
      </c>
      <c r="H1921" s="1" t="s">
        <v>15</v>
      </c>
      <c r="I1921" s="3" t="str">
        <f>"1"</f>
        <v>1</v>
      </c>
      <c r="J1921" s="3" t="str">
        <f>"38791"</f>
        <v>38791</v>
      </c>
      <c r="K1921" s="2">
        <v>45836</v>
      </c>
      <c r="L1921" s="2">
        <v>45873</v>
      </c>
      <c r="M1921" s="1" t="s">
        <v>6231</v>
      </c>
      <c r="N1921" s="1" t="s">
        <v>6230</v>
      </c>
    </row>
    <row r="1922" spans="1:14" x14ac:dyDescent="0.35">
      <c r="A1922" s="1" t="s">
        <v>4321</v>
      </c>
      <c r="B1922" s="3" t="s">
        <v>2248</v>
      </c>
      <c r="C1922" s="1" t="s">
        <v>6229</v>
      </c>
      <c r="D1922" s="1" t="s">
        <v>6228</v>
      </c>
      <c r="E1922" s="1" t="str">
        <f>"4220"</f>
        <v>4220</v>
      </c>
      <c r="F1922" s="1" t="str">
        <f>"014851138"</f>
        <v>014851138</v>
      </c>
      <c r="G1922" s="1" t="s">
        <v>158</v>
      </c>
      <c r="H1922" s="1" t="s">
        <v>15</v>
      </c>
      <c r="I1922" s="3" t="str">
        <f>"12"</f>
        <v>12</v>
      </c>
      <c r="J1922" s="3">
        <v>556.55999999999995</v>
      </c>
      <c r="K1922" s="2">
        <v>45828</v>
      </c>
      <c r="L1922" s="2">
        <v>45873</v>
      </c>
      <c r="M1922" s="1" t="s">
        <v>6227</v>
      </c>
      <c r="N1922" s="1" t="s">
        <v>6226</v>
      </c>
    </row>
    <row r="1923" spans="1:14" x14ac:dyDescent="0.35">
      <c r="A1923" s="1" t="s">
        <v>4321</v>
      </c>
      <c r="B1923" s="3" t="s">
        <v>3885</v>
      </c>
      <c r="C1923" s="1" t="s">
        <v>3895</v>
      </c>
      <c r="D1923" s="1" t="s">
        <v>6225</v>
      </c>
      <c r="E1923" s="1" t="str">
        <f>"2330"</f>
        <v>2330</v>
      </c>
      <c r="F1923" s="1" t="s">
        <v>70</v>
      </c>
      <c r="G1923" s="1" t="s">
        <v>71</v>
      </c>
      <c r="H1923" s="1" t="s">
        <v>15</v>
      </c>
      <c r="I1923" s="3" t="str">
        <f>"1"</f>
        <v>1</v>
      </c>
      <c r="J1923" s="3" t="str">
        <f>"1434"</f>
        <v>1434</v>
      </c>
      <c r="K1923" s="2">
        <v>45823</v>
      </c>
      <c r="L1923" s="2">
        <v>45873</v>
      </c>
      <c r="M1923" s="1" t="s">
        <v>6224</v>
      </c>
      <c r="N1923" s="1" t="s">
        <v>6223</v>
      </c>
    </row>
    <row r="1924" spans="1:14" x14ac:dyDescent="0.35">
      <c r="A1924" s="1" t="s">
        <v>4321</v>
      </c>
      <c r="B1924" s="3" t="s">
        <v>1407</v>
      </c>
      <c r="C1924" s="1" t="s">
        <v>1420</v>
      </c>
      <c r="D1924" s="1" t="s">
        <v>6222</v>
      </c>
      <c r="E1924" s="1" t="str">
        <f>"8415"</f>
        <v>8415</v>
      </c>
      <c r="F1924" s="1" t="str">
        <f>"015386754"</f>
        <v>015386754</v>
      </c>
      <c r="G1924" s="1" t="s">
        <v>839</v>
      </c>
      <c r="H1924" s="1" t="s">
        <v>15</v>
      </c>
      <c r="I1924" s="3" t="str">
        <f>"1"</f>
        <v>1</v>
      </c>
      <c r="J1924" s="3">
        <v>66.42</v>
      </c>
      <c r="K1924" s="2">
        <v>45818</v>
      </c>
      <c r="L1924" s="2">
        <v>45873</v>
      </c>
      <c r="M1924" s="1" t="s">
        <v>6221</v>
      </c>
      <c r="N1924" s="1" t="s">
        <v>6220</v>
      </c>
    </row>
    <row r="1925" spans="1:14" x14ac:dyDescent="0.35">
      <c r="A1925" s="1" t="s">
        <v>4321</v>
      </c>
      <c r="B1925" s="3" t="s">
        <v>2987</v>
      </c>
      <c r="C1925" s="1" t="s">
        <v>3065</v>
      </c>
      <c r="D1925" s="1" t="s">
        <v>6219</v>
      </c>
      <c r="E1925" s="1" t="str">
        <f>"1095"</f>
        <v>1095</v>
      </c>
      <c r="F1925" s="1" t="str">
        <f>"015300833"</f>
        <v>015300833</v>
      </c>
      <c r="G1925" s="1" t="s">
        <v>3067</v>
      </c>
      <c r="H1925" s="1" t="s">
        <v>15</v>
      </c>
      <c r="I1925" s="3" t="str">
        <f>"12"</f>
        <v>12</v>
      </c>
      <c r="J1925" s="3">
        <v>167.28</v>
      </c>
      <c r="K1925" s="2">
        <v>45871</v>
      </c>
      <c r="L1925" s="2">
        <v>45872</v>
      </c>
      <c r="M1925" s="1" t="s">
        <v>6218</v>
      </c>
      <c r="N1925" s="1" t="s">
        <v>4343</v>
      </c>
    </row>
    <row r="1926" spans="1:14" x14ac:dyDescent="0.35">
      <c r="A1926" s="1" t="s">
        <v>4321</v>
      </c>
      <c r="B1926" s="3" t="s">
        <v>3183</v>
      </c>
      <c r="C1926" s="1" t="s">
        <v>6217</v>
      </c>
      <c r="D1926" s="1" t="s">
        <v>6216</v>
      </c>
      <c r="E1926" s="1" t="str">
        <f>"7025"</f>
        <v>7025</v>
      </c>
      <c r="F1926" s="1" t="s">
        <v>2323</v>
      </c>
      <c r="G1926" s="1" t="s">
        <v>2324</v>
      </c>
      <c r="H1926" s="1" t="s">
        <v>15</v>
      </c>
      <c r="I1926" s="3" t="str">
        <f>"13"</f>
        <v>13</v>
      </c>
      <c r="J1926" s="3" t="str">
        <f>"1100"</f>
        <v>1100</v>
      </c>
      <c r="K1926" s="2">
        <v>45864</v>
      </c>
      <c r="L1926" s="2">
        <v>45872</v>
      </c>
      <c r="M1926" s="1" t="s">
        <v>6215</v>
      </c>
      <c r="N1926" s="1" t="s">
        <v>6214</v>
      </c>
    </row>
    <row r="1927" spans="1:14" x14ac:dyDescent="0.35">
      <c r="A1927" s="1" t="s">
        <v>4321</v>
      </c>
      <c r="B1927" s="3" t="s">
        <v>3183</v>
      </c>
      <c r="C1927" s="1" t="s">
        <v>3435</v>
      </c>
      <c r="D1927" s="1" t="s">
        <v>6213</v>
      </c>
      <c r="E1927" s="1" t="str">
        <f>"8340"</f>
        <v>8340</v>
      </c>
      <c r="F1927" s="1" t="str">
        <f>"014563628"</f>
        <v>014563628</v>
      </c>
      <c r="G1927" s="1" t="s">
        <v>6212</v>
      </c>
      <c r="H1927" s="1" t="s">
        <v>15</v>
      </c>
      <c r="I1927" s="3" t="str">
        <f>"2"</f>
        <v>2</v>
      </c>
      <c r="J1927" s="3">
        <v>8443.0400000000009</v>
      </c>
      <c r="K1927" s="2">
        <v>45864</v>
      </c>
      <c r="L1927" s="2">
        <v>45872</v>
      </c>
      <c r="M1927" s="1" t="s">
        <v>6211</v>
      </c>
      <c r="N1927" s="1" t="s">
        <v>6210</v>
      </c>
    </row>
    <row r="1928" spans="1:14" x14ac:dyDescent="0.35">
      <c r="A1928" s="1" t="s">
        <v>4321</v>
      </c>
      <c r="B1928" s="3" t="s">
        <v>3105</v>
      </c>
      <c r="C1928" s="1" t="s">
        <v>3141</v>
      </c>
      <c r="D1928" s="1" t="s">
        <v>6209</v>
      </c>
      <c r="E1928" s="1" t="str">
        <f>"5855"</f>
        <v>5855</v>
      </c>
      <c r="F1928" s="1" t="str">
        <f>"015356166"</f>
        <v>015356166</v>
      </c>
      <c r="G1928" s="1" t="s">
        <v>703</v>
      </c>
      <c r="H1928" s="1" t="s">
        <v>15</v>
      </c>
      <c r="I1928" s="3" t="str">
        <f>"4"</f>
        <v>4</v>
      </c>
      <c r="J1928" s="3" t="str">
        <f>"906"</f>
        <v>906</v>
      </c>
      <c r="K1928" s="2">
        <v>45869</v>
      </c>
      <c r="L1928" s="2">
        <v>45871</v>
      </c>
      <c r="M1928" s="1" t="s">
        <v>3145</v>
      </c>
      <c r="N1928" s="1" t="s">
        <v>4343</v>
      </c>
    </row>
    <row r="1929" spans="1:14" x14ac:dyDescent="0.35">
      <c r="A1929" s="1" t="s">
        <v>4321</v>
      </c>
      <c r="B1929" s="3" t="s">
        <v>93</v>
      </c>
      <c r="C1929" s="1" t="s">
        <v>109</v>
      </c>
      <c r="D1929" s="1" t="s">
        <v>6208</v>
      </c>
      <c r="E1929" s="1" t="str">
        <f>"6720"</f>
        <v>6720</v>
      </c>
      <c r="F1929" s="1" t="s">
        <v>443</v>
      </c>
      <c r="G1929" s="1" t="s">
        <v>444</v>
      </c>
      <c r="H1929" s="1" t="s">
        <v>15</v>
      </c>
      <c r="I1929" s="3" t="str">
        <f>"2"</f>
        <v>2</v>
      </c>
      <c r="J1929" s="3">
        <v>10463.66</v>
      </c>
      <c r="K1929" s="2">
        <v>45865</v>
      </c>
      <c r="L1929" s="2">
        <v>45871</v>
      </c>
      <c r="M1929" s="1" t="s">
        <v>6207</v>
      </c>
      <c r="N1929" s="1" t="s">
        <v>6206</v>
      </c>
    </row>
    <row r="1930" spans="1:14" x14ac:dyDescent="0.35">
      <c r="A1930" s="1" t="s">
        <v>4321</v>
      </c>
      <c r="B1930" s="3" t="s">
        <v>3513</v>
      </c>
      <c r="C1930" s="1" t="s">
        <v>3514</v>
      </c>
      <c r="D1930" s="1" t="s">
        <v>6205</v>
      </c>
      <c r="E1930" s="1" t="str">
        <f>"2320"</f>
        <v>2320</v>
      </c>
      <c r="F1930" s="1" t="s">
        <v>274</v>
      </c>
      <c r="G1930" s="1" t="s">
        <v>275</v>
      </c>
      <c r="H1930" s="1" t="s">
        <v>15</v>
      </c>
      <c r="I1930" s="3" t="str">
        <f>"1"</f>
        <v>1</v>
      </c>
      <c r="J1930" s="3" t="str">
        <f>"30000"</f>
        <v>30000</v>
      </c>
      <c r="K1930" s="2">
        <v>45864</v>
      </c>
      <c r="L1930" s="2">
        <v>45871</v>
      </c>
      <c r="M1930" s="1" t="s">
        <v>3526</v>
      </c>
      <c r="N1930" s="1" t="s">
        <v>6204</v>
      </c>
    </row>
    <row r="1931" spans="1:14" x14ac:dyDescent="0.35">
      <c r="A1931" s="1" t="s">
        <v>4321</v>
      </c>
      <c r="B1931" s="3" t="s">
        <v>1699</v>
      </c>
      <c r="C1931" s="1" t="s">
        <v>1818</v>
      </c>
      <c r="D1931" s="1" t="s">
        <v>6203</v>
      </c>
      <c r="E1931" s="1" t="str">
        <f>"2320"</f>
        <v>2320</v>
      </c>
      <c r="F1931" s="1" t="s">
        <v>274</v>
      </c>
      <c r="G1931" s="1" t="s">
        <v>275</v>
      </c>
      <c r="H1931" s="1" t="s">
        <v>15</v>
      </c>
      <c r="I1931" s="3" t="str">
        <f>"1"</f>
        <v>1</v>
      </c>
      <c r="J1931" s="3" t="str">
        <f>"30000"</f>
        <v>30000</v>
      </c>
      <c r="K1931" s="2">
        <v>45864</v>
      </c>
      <c r="L1931" s="2">
        <v>45871</v>
      </c>
      <c r="M1931" s="1" t="s">
        <v>1823</v>
      </c>
      <c r="N1931" s="1" t="s">
        <v>6202</v>
      </c>
    </row>
    <row r="1932" spans="1:14" x14ac:dyDescent="0.35">
      <c r="A1932" s="1" t="s">
        <v>4321</v>
      </c>
      <c r="B1932" s="3" t="s">
        <v>2248</v>
      </c>
      <c r="C1932" s="1" t="s">
        <v>6201</v>
      </c>
      <c r="D1932" s="1" t="s">
        <v>6200</v>
      </c>
      <c r="E1932" s="1" t="str">
        <f>"5855"</f>
        <v>5855</v>
      </c>
      <c r="F1932" s="1" t="str">
        <f>"015790062"</f>
        <v>015790062</v>
      </c>
      <c r="G1932" s="1" t="s">
        <v>703</v>
      </c>
      <c r="H1932" s="1" t="s">
        <v>15</v>
      </c>
      <c r="I1932" s="3" t="str">
        <f>"26"</f>
        <v>26</v>
      </c>
      <c r="J1932" s="3" t="str">
        <f>"906"</f>
        <v>906</v>
      </c>
      <c r="K1932" s="2">
        <v>45863</v>
      </c>
      <c r="L1932" s="2">
        <v>45871</v>
      </c>
      <c r="M1932" s="1" t="s">
        <v>6199</v>
      </c>
      <c r="N1932" s="1" t="s">
        <v>6198</v>
      </c>
    </row>
    <row r="1933" spans="1:14" x14ac:dyDescent="0.35">
      <c r="A1933" s="1" t="s">
        <v>4321</v>
      </c>
      <c r="B1933" s="3" t="s">
        <v>806</v>
      </c>
      <c r="C1933" s="1" t="s">
        <v>1000</v>
      </c>
      <c r="D1933" s="1" t="s">
        <v>6197</v>
      </c>
      <c r="E1933" s="1" t="str">
        <f>"8415"</f>
        <v>8415</v>
      </c>
      <c r="F1933" s="1" t="str">
        <f>"015801341"</f>
        <v>015801341</v>
      </c>
      <c r="G1933" s="1" t="s">
        <v>839</v>
      </c>
      <c r="H1933" s="1" t="s">
        <v>15</v>
      </c>
      <c r="I1933" s="3" t="str">
        <f>"6"</f>
        <v>6</v>
      </c>
      <c r="J1933" s="3">
        <v>81.66</v>
      </c>
      <c r="K1933" s="2">
        <v>45863</v>
      </c>
      <c r="L1933" s="2">
        <v>45871</v>
      </c>
      <c r="M1933" s="1" t="s">
        <v>1056</v>
      </c>
      <c r="N1933" s="1" t="s">
        <v>6196</v>
      </c>
    </row>
    <row r="1934" spans="1:14" x14ac:dyDescent="0.35">
      <c r="A1934" s="1" t="s">
        <v>4321</v>
      </c>
      <c r="B1934" s="3" t="s">
        <v>806</v>
      </c>
      <c r="C1934" s="1" t="s">
        <v>1000</v>
      </c>
      <c r="D1934" s="1" t="s">
        <v>6195</v>
      </c>
      <c r="E1934" s="1" t="str">
        <f>"8415"</f>
        <v>8415</v>
      </c>
      <c r="F1934" s="1" t="str">
        <f>"015386308"</f>
        <v>015386308</v>
      </c>
      <c r="G1934" s="1" t="s">
        <v>973</v>
      </c>
      <c r="H1934" s="1" t="s">
        <v>15</v>
      </c>
      <c r="I1934" s="3" t="str">
        <f>"2"</f>
        <v>2</v>
      </c>
      <c r="J1934" s="3">
        <v>143.46</v>
      </c>
      <c r="K1934" s="2">
        <v>45863</v>
      </c>
      <c r="L1934" s="2">
        <v>45871</v>
      </c>
      <c r="M1934" s="1" t="s">
        <v>6194</v>
      </c>
      <c r="N1934" s="1" t="s">
        <v>6193</v>
      </c>
    </row>
    <row r="1935" spans="1:14" x14ac:dyDescent="0.35">
      <c r="A1935" s="1" t="s">
        <v>4321</v>
      </c>
      <c r="B1935" s="3" t="s">
        <v>93</v>
      </c>
      <c r="C1935" s="1" t="s">
        <v>267</v>
      </c>
      <c r="D1935" s="1" t="s">
        <v>6192</v>
      </c>
      <c r="E1935" s="1" t="str">
        <f>"5855"</f>
        <v>5855</v>
      </c>
      <c r="F1935" s="1" t="s">
        <v>1926</v>
      </c>
      <c r="G1935" s="1" t="s">
        <v>1927</v>
      </c>
      <c r="H1935" s="1" t="s">
        <v>15</v>
      </c>
      <c r="I1935" s="3" t="str">
        <f>"1"</f>
        <v>1</v>
      </c>
      <c r="J1935" s="3" t="str">
        <f>"15000"</f>
        <v>15000</v>
      </c>
      <c r="K1935" s="2">
        <v>45862</v>
      </c>
      <c r="L1935" s="2">
        <v>45871</v>
      </c>
      <c r="M1935" s="1" t="s">
        <v>287</v>
      </c>
      <c r="N1935" s="1" t="s">
        <v>6191</v>
      </c>
    </row>
    <row r="1936" spans="1:14" x14ac:dyDescent="0.35">
      <c r="A1936" s="1" t="s">
        <v>4321</v>
      </c>
      <c r="B1936" s="3" t="s">
        <v>93</v>
      </c>
      <c r="C1936" s="1" t="s">
        <v>6190</v>
      </c>
      <c r="D1936" s="1" t="s">
        <v>6189</v>
      </c>
      <c r="E1936" s="1" t="str">
        <f>"5855"</f>
        <v>5855</v>
      </c>
      <c r="F1936" s="1" t="str">
        <f>"015790062"</f>
        <v>015790062</v>
      </c>
      <c r="G1936" s="1" t="s">
        <v>703</v>
      </c>
      <c r="H1936" s="1" t="s">
        <v>15</v>
      </c>
      <c r="I1936" s="3" t="str">
        <f>"8"</f>
        <v>8</v>
      </c>
      <c r="J1936" s="3" t="str">
        <f>"906"</f>
        <v>906</v>
      </c>
      <c r="K1936" s="2">
        <v>45862</v>
      </c>
      <c r="L1936" s="2">
        <v>45871</v>
      </c>
      <c r="M1936" s="1" t="s">
        <v>6188</v>
      </c>
      <c r="N1936" s="1" t="s">
        <v>4343</v>
      </c>
    </row>
    <row r="1937" spans="1:14" x14ac:dyDescent="0.35">
      <c r="A1937" s="1" t="s">
        <v>4321</v>
      </c>
      <c r="B1937" s="3" t="s">
        <v>2987</v>
      </c>
      <c r="C1937" s="1" t="s">
        <v>2988</v>
      </c>
      <c r="D1937" s="1" t="s">
        <v>6187</v>
      </c>
      <c r="E1937" s="1" t="str">
        <f>"5855"</f>
        <v>5855</v>
      </c>
      <c r="F1937" s="1" t="str">
        <f>"015790062"</f>
        <v>015790062</v>
      </c>
      <c r="G1937" s="1" t="s">
        <v>703</v>
      </c>
      <c r="H1937" s="1" t="s">
        <v>15</v>
      </c>
      <c r="I1937" s="3" t="str">
        <f>"17"</f>
        <v>17</v>
      </c>
      <c r="J1937" s="3" t="str">
        <f>"906"</f>
        <v>906</v>
      </c>
      <c r="K1937" s="2">
        <v>45861</v>
      </c>
      <c r="L1937" s="2">
        <v>45871</v>
      </c>
      <c r="M1937" s="1" t="s">
        <v>6186</v>
      </c>
      <c r="N1937" s="1" t="s">
        <v>6185</v>
      </c>
    </row>
    <row r="1938" spans="1:14" x14ac:dyDescent="0.35">
      <c r="A1938" s="1" t="s">
        <v>4321</v>
      </c>
      <c r="B1938" s="3" t="s">
        <v>4253</v>
      </c>
      <c r="C1938" s="1" t="s">
        <v>4271</v>
      </c>
      <c r="D1938" s="1" t="s">
        <v>6184</v>
      </c>
      <c r="E1938" s="1" t="str">
        <f>"5855"</f>
        <v>5855</v>
      </c>
      <c r="F1938" s="1" t="str">
        <f>"015790062"</f>
        <v>015790062</v>
      </c>
      <c r="G1938" s="1" t="s">
        <v>703</v>
      </c>
      <c r="H1938" s="1" t="s">
        <v>15</v>
      </c>
      <c r="I1938" s="3" t="str">
        <f>"14"</f>
        <v>14</v>
      </c>
      <c r="J1938" s="3" t="str">
        <f>"906"</f>
        <v>906</v>
      </c>
      <c r="K1938" s="2">
        <v>45861</v>
      </c>
      <c r="L1938" s="2">
        <v>45871</v>
      </c>
      <c r="M1938" s="1" t="s">
        <v>6183</v>
      </c>
      <c r="N1938" s="1" t="s">
        <v>6182</v>
      </c>
    </row>
    <row r="1939" spans="1:14" x14ac:dyDescent="0.35">
      <c r="A1939" s="1" t="s">
        <v>4321</v>
      </c>
      <c r="B1939" s="3" t="s">
        <v>691</v>
      </c>
      <c r="C1939" s="1" t="s">
        <v>707</v>
      </c>
      <c r="D1939" s="1" t="s">
        <v>6181</v>
      </c>
      <c r="E1939" s="1" t="str">
        <f>"5855"</f>
        <v>5855</v>
      </c>
      <c r="F1939" s="1" t="str">
        <f>"015790062"</f>
        <v>015790062</v>
      </c>
      <c r="G1939" s="1" t="s">
        <v>703</v>
      </c>
      <c r="H1939" s="1" t="s">
        <v>15</v>
      </c>
      <c r="I1939" s="3" t="str">
        <f>"125"</f>
        <v>125</v>
      </c>
      <c r="J1939" s="3" t="str">
        <f>"906"</f>
        <v>906</v>
      </c>
      <c r="K1939" s="2">
        <v>45861</v>
      </c>
      <c r="L1939" s="2">
        <v>45871</v>
      </c>
      <c r="M1939" s="1" t="s">
        <v>6180</v>
      </c>
      <c r="N1939" s="1" t="s">
        <v>6179</v>
      </c>
    </row>
    <row r="1940" spans="1:14" x14ac:dyDescent="0.35">
      <c r="A1940" s="1" t="s">
        <v>4321</v>
      </c>
      <c r="B1940" s="3" t="s">
        <v>3513</v>
      </c>
      <c r="C1940" s="1" t="s">
        <v>6178</v>
      </c>
      <c r="D1940" s="1" t="s">
        <v>6177</v>
      </c>
      <c r="E1940" s="1" t="str">
        <f>"2330"</f>
        <v>2330</v>
      </c>
      <c r="F1940" s="1" t="s">
        <v>70</v>
      </c>
      <c r="G1940" s="1" t="s">
        <v>71</v>
      </c>
      <c r="H1940" s="1" t="s">
        <v>15</v>
      </c>
      <c r="I1940" s="3" t="str">
        <f>"1"</f>
        <v>1</v>
      </c>
      <c r="J1940" s="3" t="str">
        <f>"5894"</f>
        <v>5894</v>
      </c>
      <c r="K1940" s="2">
        <v>45861</v>
      </c>
      <c r="L1940" s="2">
        <v>45871</v>
      </c>
      <c r="M1940" s="1" t="s">
        <v>6176</v>
      </c>
      <c r="N1940" s="1" t="s">
        <v>6175</v>
      </c>
    </row>
    <row r="1941" spans="1:14" x14ac:dyDescent="0.35">
      <c r="A1941" s="1" t="s">
        <v>4321</v>
      </c>
      <c r="B1941" s="3" t="s">
        <v>2145</v>
      </c>
      <c r="C1941" s="1" t="s">
        <v>6174</v>
      </c>
      <c r="D1941" s="1" t="s">
        <v>6173</v>
      </c>
      <c r="E1941" s="1" t="str">
        <f>"5855"</f>
        <v>5855</v>
      </c>
      <c r="F1941" s="1" t="str">
        <f>"015790062"</f>
        <v>015790062</v>
      </c>
      <c r="G1941" s="1" t="s">
        <v>703</v>
      </c>
      <c r="H1941" s="1" t="s">
        <v>15</v>
      </c>
      <c r="I1941" s="3" t="str">
        <f>"12"</f>
        <v>12</v>
      </c>
      <c r="J1941" s="3" t="str">
        <f>"906"</f>
        <v>906</v>
      </c>
      <c r="K1941" s="2">
        <v>45861</v>
      </c>
      <c r="L1941" s="2">
        <v>45871</v>
      </c>
      <c r="M1941" s="1" t="s">
        <v>6172</v>
      </c>
      <c r="N1941" s="1" t="s">
        <v>6171</v>
      </c>
    </row>
    <row r="1942" spans="1:14" x14ac:dyDescent="0.35">
      <c r="A1942" s="1" t="s">
        <v>4321</v>
      </c>
      <c r="B1942" s="3" t="s">
        <v>2145</v>
      </c>
      <c r="C1942" s="1" t="s">
        <v>2237</v>
      </c>
      <c r="D1942" s="1" t="s">
        <v>6170</v>
      </c>
      <c r="E1942" s="1" t="str">
        <f>"2330"</f>
        <v>2330</v>
      </c>
      <c r="F1942" s="1" t="s">
        <v>70</v>
      </c>
      <c r="G1942" s="1" t="s">
        <v>71</v>
      </c>
      <c r="H1942" s="1" t="s">
        <v>15</v>
      </c>
      <c r="I1942" s="3" t="str">
        <f>"1"</f>
        <v>1</v>
      </c>
      <c r="J1942" s="3" t="str">
        <f>"5894"</f>
        <v>5894</v>
      </c>
      <c r="K1942" s="2">
        <v>45861</v>
      </c>
      <c r="L1942" s="2">
        <v>45871</v>
      </c>
      <c r="M1942" s="1" t="s">
        <v>6169</v>
      </c>
      <c r="N1942" s="1" t="s">
        <v>6168</v>
      </c>
    </row>
    <row r="1943" spans="1:14" x14ac:dyDescent="0.35">
      <c r="A1943" s="1" t="s">
        <v>4321</v>
      </c>
      <c r="B1943" s="3" t="s">
        <v>2248</v>
      </c>
      <c r="C1943" s="1" t="s">
        <v>2357</v>
      </c>
      <c r="D1943" s="1" t="s">
        <v>6167</v>
      </c>
      <c r="E1943" s="1" t="str">
        <f>"5855"</f>
        <v>5855</v>
      </c>
      <c r="F1943" s="1" t="str">
        <f>"015790062"</f>
        <v>015790062</v>
      </c>
      <c r="G1943" s="1" t="s">
        <v>703</v>
      </c>
      <c r="H1943" s="1" t="s">
        <v>15</v>
      </c>
      <c r="I1943" s="3" t="str">
        <f>"17"</f>
        <v>17</v>
      </c>
      <c r="J1943" s="3" t="str">
        <f>"906"</f>
        <v>906</v>
      </c>
      <c r="K1943" s="2">
        <v>45861</v>
      </c>
      <c r="L1943" s="2">
        <v>45871</v>
      </c>
      <c r="M1943" s="1" t="s">
        <v>6166</v>
      </c>
      <c r="N1943" s="1" t="s">
        <v>6165</v>
      </c>
    </row>
    <row r="1944" spans="1:14" x14ac:dyDescent="0.35">
      <c r="A1944" s="1" t="s">
        <v>4321</v>
      </c>
      <c r="B1944" s="3" t="s">
        <v>3105</v>
      </c>
      <c r="C1944" s="1" t="s">
        <v>3141</v>
      </c>
      <c r="D1944" s="1" t="s">
        <v>6164</v>
      </c>
      <c r="E1944" s="1" t="str">
        <f>"5855"</f>
        <v>5855</v>
      </c>
      <c r="F1944" s="1" t="str">
        <f>"015790062"</f>
        <v>015790062</v>
      </c>
      <c r="G1944" s="1" t="s">
        <v>703</v>
      </c>
      <c r="H1944" s="1" t="s">
        <v>15</v>
      </c>
      <c r="I1944" s="3" t="str">
        <f>"40"</f>
        <v>40</v>
      </c>
      <c r="J1944" s="3" t="str">
        <f>"906"</f>
        <v>906</v>
      </c>
      <c r="K1944" s="2">
        <v>45861</v>
      </c>
      <c r="L1944" s="2">
        <v>45871</v>
      </c>
      <c r="M1944" s="1" t="s">
        <v>6163</v>
      </c>
      <c r="N1944" s="1" t="s">
        <v>6162</v>
      </c>
    </row>
    <row r="1945" spans="1:14" x14ac:dyDescent="0.35">
      <c r="A1945" s="1" t="s">
        <v>4321</v>
      </c>
      <c r="B1945" s="3" t="s">
        <v>2720</v>
      </c>
      <c r="C1945" s="1" t="s">
        <v>2931</v>
      </c>
      <c r="D1945" s="1" t="s">
        <v>6161</v>
      </c>
      <c r="E1945" s="1" t="str">
        <f>"2330"</f>
        <v>2330</v>
      </c>
      <c r="F1945" s="1" t="s">
        <v>70</v>
      </c>
      <c r="G1945" s="1" t="s">
        <v>71</v>
      </c>
      <c r="H1945" s="1" t="s">
        <v>15</v>
      </c>
      <c r="I1945" s="3" t="str">
        <f>"1"</f>
        <v>1</v>
      </c>
      <c r="J1945" s="3" t="str">
        <f>"5894"</f>
        <v>5894</v>
      </c>
      <c r="K1945" s="2">
        <v>45861</v>
      </c>
      <c r="L1945" s="2">
        <v>45871</v>
      </c>
      <c r="M1945" s="1" t="s">
        <v>6160</v>
      </c>
      <c r="N1945" s="1" t="s">
        <v>6159</v>
      </c>
    </row>
    <row r="1946" spans="1:14" x14ac:dyDescent="0.35">
      <c r="A1946" s="1" t="s">
        <v>4321</v>
      </c>
      <c r="B1946" s="3" t="s">
        <v>2720</v>
      </c>
      <c r="C1946" s="1" t="s">
        <v>2931</v>
      </c>
      <c r="D1946" s="1" t="s">
        <v>6158</v>
      </c>
      <c r="E1946" s="1" t="str">
        <f>"5855"</f>
        <v>5855</v>
      </c>
      <c r="F1946" s="1" t="str">
        <f>"015790062"</f>
        <v>015790062</v>
      </c>
      <c r="G1946" s="1" t="s">
        <v>703</v>
      </c>
      <c r="H1946" s="1" t="s">
        <v>15</v>
      </c>
      <c r="I1946" s="3" t="str">
        <f>"30"</f>
        <v>30</v>
      </c>
      <c r="J1946" s="3" t="str">
        <f>"906"</f>
        <v>906</v>
      </c>
      <c r="K1946" s="2">
        <v>45861</v>
      </c>
      <c r="L1946" s="2">
        <v>45871</v>
      </c>
      <c r="M1946" s="1" t="s">
        <v>6157</v>
      </c>
      <c r="N1946" s="1" t="s">
        <v>6156</v>
      </c>
    </row>
    <row r="1947" spans="1:14" x14ac:dyDescent="0.35">
      <c r="A1947" s="1" t="s">
        <v>4321</v>
      </c>
      <c r="B1947" s="3" t="s">
        <v>3513</v>
      </c>
      <c r="C1947" s="1" t="s">
        <v>5536</v>
      </c>
      <c r="D1947" s="1" t="s">
        <v>6155</v>
      </c>
      <c r="E1947" s="1" t="str">
        <f>"5855"</f>
        <v>5855</v>
      </c>
      <c r="F1947" s="1" t="str">
        <f>"015790062"</f>
        <v>015790062</v>
      </c>
      <c r="G1947" s="1" t="s">
        <v>703</v>
      </c>
      <c r="H1947" s="1" t="s">
        <v>15</v>
      </c>
      <c r="I1947" s="3" t="str">
        <f>"25"</f>
        <v>25</v>
      </c>
      <c r="J1947" s="3" t="str">
        <f>"906"</f>
        <v>906</v>
      </c>
      <c r="K1947" s="2">
        <v>45860</v>
      </c>
      <c r="L1947" s="2">
        <v>45871</v>
      </c>
      <c r="M1947" s="1" t="s">
        <v>6154</v>
      </c>
      <c r="N1947" s="1" t="s">
        <v>6153</v>
      </c>
    </row>
    <row r="1948" spans="1:14" x14ac:dyDescent="0.35">
      <c r="A1948" s="1" t="s">
        <v>4321</v>
      </c>
      <c r="B1948" s="3" t="s">
        <v>1699</v>
      </c>
      <c r="C1948" s="1" t="s">
        <v>1795</v>
      </c>
      <c r="D1948" s="1" t="s">
        <v>6152</v>
      </c>
      <c r="E1948" s="1" t="str">
        <f>"5180"</f>
        <v>5180</v>
      </c>
      <c r="F1948" s="1" t="str">
        <f>"014830249"</f>
        <v>014830249</v>
      </c>
      <c r="G1948" s="1" t="s">
        <v>220</v>
      </c>
      <c r="H1948" s="1" t="s">
        <v>58</v>
      </c>
      <c r="I1948" s="3" t="str">
        <f>"2"</f>
        <v>2</v>
      </c>
      <c r="J1948" s="3" t="str">
        <f>"1780"</f>
        <v>1780</v>
      </c>
      <c r="K1948" s="2">
        <v>45860</v>
      </c>
      <c r="L1948" s="2">
        <v>45871</v>
      </c>
      <c r="M1948" s="1" t="s">
        <v>6151</v>
      </c>
      <c r="N1948" s="1" t="s">
        <v>6150</v>
      </c>
    </row>
    <row r="1949" spans="1:14" x14ac:dyDescent="0.35">
      <c r="A1949" s="1" t="s">
        <v>4321</v>
      </c>
      <c r="B1949" s="3" t="s">
        <v>1699</v>
      </c>
      <c r="C1949" s="1" t="s">
        <v>1795</v>
      </c>
      <c r="D1949" s="1" t="s">
        <v>6149</v>
      </c>
      <c r="E1949" s="1" t="str">
        <f>"8140"</f>
        <v>8140</v>
      </c>
      <c r="F1949" s="1" t="str">
        <f>"016045849"</f>
        <v>016045849</v>
      </c>
      <c r="G1949" s="1" t="s">
        <v>5442</v>
      </c>
      <c r="H1949" s="1" t="s">
        <v>15</v>
      </c>
      <c r="I1949" s="3" t="str">
        <f>"25"</f>
        <v>25</v>
      </c>
      <c r="J1949" s="3">
        <v>11.69</v>
      </c>
      <c r="K1949" s="2">
        <v>45860</v>
      </c>
      <c r="L1949" s="2">
        <v>45871</v>
      </c>
      <c r="M1949" s="1" t="s">
        <v>6148</v>
      </c>
      <c r="N1949" s="1" t="s">
        <v>6147</v>
      </c>
    </row>
    <row r="1950" spans="1:14" x14ac:dyDescent="0.35">
      <c r="A1950" s="1" t="s">
        <v>4321</v>
      </c>
      <c r="B1950" s="3" t="s">
        <v>1699</v>
      </c>
      <c r="C1950" s="1" t="s">
        <v>6146</v>
      </c>
      <c r="D1950" s="1" t="s">
        <v>6145</v>
      </c>
      <c r="E1950" s="1" t="str">
        <f>"6115"</f>
        <v>6115</v>
      </c>
      <c r="F1950" s="1" t="str">
        <f>"013491536"</f>
        <v>013491536</v>
      </c>
      <c r="G1950" s="1" t="s">
        <v>1838</v>
      </c>
      <c r="H1950" s="1" t="s">
        <v>15</v>
      </c>
      <c r="I1950" s="3" t="str">
        <f>"1"</f>
        <v>1</v>
      </c>
      <c r="J1950" s="3" t="str">
        <f>"164000"</f>
        <v>164000</v>
      </c>
      <c r="K1950" s="2">
        <v>45859</v>
      </c>
      <c r="L1950" s="2">
        <v>45871</v>
      </c>
      <c r="M1950" s="1" t="s">
        <v>6144</v>
      </c>
      <c r="N1950" s="1" t="s">
        <v>6143</v>
      </c>
    </row>
    <row r="1951" spans="1:14" x14ac:dyDescent="0.35">
      <c r="A1951" s="1" t="s">
        <v>4321</v>
      </c>
      <c r="B1951" s="3" t="s">
        <v>2248</v>
      </c>
      <c r="C1951" s="1" t="s">
        <v>2265</v>
      </c>
      <c r="D1951" s="1" t="s">
        <v>6142</v>
      </c>
      <c r="E1951" s="1" t="str">
        <f>"5855"</f>
        <v>5855</v>
      </c>
      <c r="F1951" s="1" t="str">
        <f>"014778741"</f>
        <v>014778741</v>
      </c>
      <c r="G1951" s="1" t="s">
        <v>1942</v>
      </c>
      <c r="H1951" s="1" t="s">
        <v>15</v>
      </c>
      <c r="I1951" s="3" t="str">
        <f>"1"</f>
        <v>1</v>
      </c>
      <c r="J1951" s="3" t="str">
        <f>"10165"</f>
        <v>10165</v>
      </c>
      <c r="K1951" s="2">
        <v>45859</v>
      </c>
      <c r="L1951" s="2">
        <v>45871</v>
      </c>
      <c r="M1951" s="1" t="s">
        <v>6005</v>
      </c>
      <c r="N1951" s="1" t="s">
        <v>6141</v>
      </c>
    </row>
    <row r="1952" spans="1:14" x14ac:dyDescent="0.35">
      <c r="A1952" s="1" t="s">
        <v>4321</v>
      </c>
      <c r="B1952" s="3" t="s">
        <v>2248</v>
      </c>
      <c r="C1952" s="1" t="s">
        <v>2265</v>
      </c>
      <c r="D1952" s="1" t="s">
        <v>6140</v>
      </c>
      <c r="E1952" s="1" t="str">
        <f>"5855"</f>
        <v>5855</v>
      </c>
      <c r="F1952" s="1" t="str">
        <f>"014778741"</f>
        <v>014778741</v>
      </c>
      <c r="G1952" s="1" t="s">
        <v>1942</v>
      </c>
      <c r="H1952" s="1" t="s">
        <v>15</v>
      </c>
      <c r="I1952" s="3" t="str">
        <f>"1"</f>
        <v>1</v>
      </c>
      <c r="J1952" s="3" t="str">
        <f>"10165"</f>
        <v>10165</v>
      </c>
      <c r="K1952" s="2">
        <v>45859</v>
      </c>
      <c r="L1952" s="2">
        <v>45871</v>
      </c>
      <c r="M1952" s="1" t="s">
        <v>6005</v>
      </c>
      <c r="N1952" s="1" t="s">
        <v>6139</v>
      </c>
    </row>
    <row r="1953" spans="1:14" x14ac:dyDescent="0.35">
      <c r="A1953" s="1" t="s">
        <v>4321</v>
      </c>
      <c r="B1953" s="3" t="s">
        <v>3513</v>
      </c>
      <c r="C1953" s="1" t="s">
        <v>5051</v>
      </c>
      <c r="D1953" s="1" t="s">
        <v>6138</v>
      </c>
      <c r="E1953" s="1" t="str">
        <f>"2320"</f>
        <v>2320</v>
      </c>
      <c r="F1953" s="1" t="s">
        <v>321</v>
      </c>
      <c r="G1953" s="1" t="s">
        <v>322</v>
      </c>
      <c r="H1953" s="1" t="s">
        <v>15</v>
      </c>
      <c r="I1953" s="3" t="str">
        <f>"1"</f>
        <v>1</v>
      </c>
      <c r="J1953" s="3">
        <v>512521.97</v>
      </c>
      <c r="K1953" s="2">
        <v>45859</v>
      </c>
      <c r="L1953" s="2">
        <v>45871</v>
      </c>
      <c r="M1953" s="1" t="s">
        <v>6137</v>
      </c>
      <c r="N1953" s="1" t="s">
        <v>6136</v>
      </c>
    </row>
    <row r="1954" spans="1:14" x14ac:dyDescent="0.35">
      <c r="A1954" s="1" t="s">
        <v>4321</v>
      </c>
      <c r="B1954" s="3" t="s">
        <v>3183</v>
      </c>
      <c r="C1954" s="1" t="s">
        <v>5447</v>
      </c>
      <c r="D1954" s="1" t="s">
        <v>6135</v>
      </c>
      <c r="E1954" s="1" t="str">
        <f>"2320"</f>
        <v>2320</v>
      </c>
      <c r="F1954" s="1" t="s">
        <v>321</v>
      </c>
      <c r="G1954" s="1" t="s">
        <v>322</v>
      </c>
      <c r="H1954" s="1" t="s">
        <v>15</v>
      </c>
      <c r="I1954" s="3" t="str">
        <f>"1"</f>
        <v>1</v>
      </c>
      <c r="J1954" s="3">
        <v>512521.97</v>
      </c>
      <c r="K1954" s="2">
        <v>45859</v>
      </c>
      <c r="L1954" s="2">
        <v>45871</v>
      </c>
      <c r="M1954" s="1" t="s">
        <v>6134</v>
      </c>
      <c r="N1954" s="1" t="s">
        <v>6133</v>
      </c>
    </row>
    <row r="1955" spans="1:14" x14ac:dyDescent="0.35">
      <c r="A1955" s="1" t="s">
        <v>4321</v>
      </c>
      <c r="B1955" s="3" t="s">
        <v>3183</v>
      </c>
      <c r="C1955" s="1" t="s">
        <v>3311</v>
      </c>
      <c r="D1955" s="1" t="s">
        <v>6132</v>
      </c>
      <c r="E1955" s="1" t="str">
        <f>"2320"</f>
        <v>2320</v>
      </c>
      <c r="F1955" s="1" t="s">
        <v>321</v>
      </c>
      <c r="G1955" s="1" t="s">
        <v>322</v>
      </c>
      <c r="H1955" s="1" t="s">
        <v>15</v>
      </c>
      <c r="I1955" s="3" t="str">
        <f>"1"</f>
        <v>1</v>
      </c>
      <c r="J1955" s="3">
        <v>512521.97</v>
      </c>
      <c r="K1955" s="2">
        <v>45859</v>
      </c>
      <c r="L1955" s="2">
        <v>45871</v>
      </c>
      <c r="M1955" s="1" t="s">
        <v>6131</v>
      </c>
      <c r="N1955" s="1" t="s">
        <v>6130</v>
      </c>
    </row>
    <row r="1956" spans="1:14" x14ac:dyDescent="0.35">
      <c r="A1956" s="1" t="s">
        <v>4321</v>
      </c>
      <c r="B1956" s="3" t="s">
        <v>2248</v>
      </c>
      <c r="C1956" s="1" t="s">
        <v>6129</v>
      </c>
      <c r="D1956" s="1" t="s">
        <v>6128</v>
      </c>
      <c r="E1956" s="1" t="str">
        <f>"2320"</f>
        <v>2320</v>
      </c>
      <c r="F1956" s="1" t="s">
        <v>321</v>
      </c>
      <c r="G1956" s="1" t="s">
        <v>322</v>
      </c>
      <c r="H1956" s="1" t="s">
        <v>15</v>
      </c>
      <c r="I1956" s="3" t="str">
        <f>"1"</f>
        <v>1</v>
      </c>
      <c r="J1956" s="3" t="str">
        <f>"80000"</f>
        <v>80000</v>
      </c>
      <c r="K1956" s="2">
        <v>45859</v>
      </c>
      <c r="L1956" s="2">
        <v>45871</v>
      </c>
      <c r="M1956" s="1" t="s">
        <v>6127</v>
      </c>
      <c r="N1956" s="1" t="s">
        <v>6126</v>
      </c>
    </row>
    <row r="1957" spans="1:14" x14ac:dyDescent="0.35">
      <c r="A1957" s="1" t="s">
        <v>4321</v>
      </c>
      <c r="B1957" s="3" t="s">
        <v>2494</v>
      </c>
      <c r="C1957" s="1" t="s">
        <v>5795</v>
      </c>
      <c r="D1957" s="1" t="s">
        <v>6125</v>
      </c>
      <c r="E1957" s="1" t="str">
        <f>"2320"</f>
        <v>2320</v>
      </c>
      <c r="F1957" s="1" t="str">
        <f>"010948229"</f>
        <v>010948229</v>
      </c>
      <c r="G1957" s="1" t="s">
        <v>373</v>
      </c>
      <c r="H1957" s="1" t="s">
        <v>15</v>
      </c>
      <c r="I1957" s="3" t="str">
        <f>"1"</f>
        <v>1</v>
      </c>
      <c r="J1957" s="3">
        <v>9989.75</v>
      </c>
      <c r="K1957" s="2">
        <v>45859</v>
      </c>
      <c r="L1957" s="2">
        <v>45871</v>
      </c>
      <c r="M1957" s="1" t="s">
        <v>6124</v>
      </c>
      <c r="N1957" s="1" t="s">
        <v>6123</v>
      </c>
    </row>
    <row r="1958" spans="1:14" x14ac:dyDescent="0.35">
      <c r="A1958" s="1" t="s">
        <v>4321</v>
      </c>
      <c r="B1958" s="3" t="s">
        <v>3183</v>
      </c>
      <c r="C1958" s="1" t="s">
        <v>3425</v>
      </c>
      <c r="D1958" s="1" t="s">
        <v>6122</v>
      </c>
      <c r="E1958" s="1" t="str">
        <f>"2320"</f>
        <v>2320</v>
      </c>
      <c r="F1958" s="1" t="s">
        <v>321</v>
      </c>
      <c r="G1958" s="1" t="s">
        <v>322</v>
      </c>
      <c r="H1958" s="1" t="s">
        <v>15</v>
      </c>
      <c r="I1958" s="3" t="str">
        <f>"1"</f>
        <v>1</v>
      </c>
      <c r="J1958" s="3" t="str">
        <f>"80000"</f>
        <v>80000</v>
      </c>
      <c r="K1958" s="2">
        <v>45859</v>
      </c>
      <c r="L1958" s="2">
        <v>45871</v>
      </c>
      <c r="M1958" s="1" t="s">
        <v>3428</v>
      </c>
      <c r="N1958" s="1" t="s">
        <v>6121</v>
      </c>
    </row>
    <row r="1959" spans="1:14" x14ac:dyDescent="0.35">
      <c r="A1959" s="1" t="s">
        <v>4321</v>
      </c>
      <c r="B1959" s="3" t="s">
        <v>1699</v>
      </c>
      <c r="C1959" s="1" t="s">
        <v>1818</v>
      </c>
      <c r="D1959" s="1" t="s">
        <v>6120</v>
      </c>
      <c r="E1959" s="1" t="str">
        <f>"6115"</f>
        <v>6115</v>
      </c>
      <c r="F1959" s="1" t="str">
        <f>"013491536"</f>
        <v>013491536</v>
      </c>
      <c r="G1959" s="1" t="s">
        <v>1838</v>
      </c>
      <c r="H1959" s="1" t="s">
        <v>15</v>
      </c>
      <c r="I1959" s="3" t="str">
        <f>"1"</f>
        <v>1</v>
      </c>
      <c r="J1959" s="3" t="str">
        <f>"164000"</f>
        <v>164000</v>
      </c>
      <c r="K1959" s="2">
        <v>45859</v>
      </c>
      <c r="L1959" s="2">
        <v>45871</v>
      </c>
      <c r="M1959" s="1" t="s">
        <v>1839</v>
      </c>
      <c r="N1959" s="1" t="s">
        <v>6119</v>
      </c>
    </row>
    <row r="1960" spans="1:14" x14ac:dyDescent="0.35">
      <c r="A1960" s="1" t="s">
        <v>4321</v>
      </c>
      <c r="B1960" s="3" t="s">
        <v>1699</v>
      </c>
      <c r="C1960" s="1" t="s">
        <v>1818</v>
      </c>
      <c r="D1960" s="1" t="s">
        <v>6118</v>
      </c>
      <c r="E1960" s="1" t="str">
        <f>"6115"</f>
        <v>6115</v>
      </c>
      <c r="F1960" s="1" t="str">
        <f>"013491536"</f>
        <v>013491536</v>
      </c>
      <c r="G1960" s="1" t="s">
        <v>1838</v>
      </c>
      <c r="H1960" s="1" t="s">
        <v>15</v>
      </c>
      <c r="I1960" s="3" t="str">
        <f>"1"</f>
        <v>1</v>
      </c>
      <c r="J1960" s="3" t="str">
        <f>"164000"</f>
        <v>164000</v>
      </c>
      <c r="K1960" s="2">
        <v>45859</v>
      </c>
      <c r="L1960" s="2">
        <v>45871</v>
      </c>
      <c r="M1960" s="1" t="s">
        <v>1839</v>
      </c>
      <c r="N1960" s="1" t="s">
        <v>6117</v>
      </c>
    </row>
    <row r="1961" spans="1:14" x14ac:dyDescent="0.35">
      <c r="A1961" s="1" t="s">
        <v>4321</v>
      </c>
      <c r="B1961" s="3" t="s">
        <v>4253</v>
      </c>
      <c r="C1961" s="1" t="s">
        <v>4254</v>
      </c>
      <c r="D1961" s="1" t="s">
        <v>6116</v>
      </c>
      <c r="E1961" s="1" t="str">
        <f>"2340"</f>
        <v>2340</v>
      </c>
      <c r="F1961" s="1" t="s">
        <v>647</v>
      </c>
      <c r="G1961" s="1" t="s">
        <v>648</v>
      </c>
      <c r="H1961" s="1" t="s">
        <v>15</v>
      </c>
      <c r="I1961" s="3" t="str">
        <f>"1"</f>
        <v>1</v>
      </c>
      <c r="J1961" s="3" t="str">
        <f>"5000"</f>
        <v>5000</v>
      </c>
      <c r="K1961" s="2">
        <v>45858</v>
      </c>
      <c r="L1961" s="2">
        <v>45871</v>
      </c>
      <c r="M1961" s="1" t="s">
        <v>5518</v>
      </c>
      <c r="N1961" s="1" t="s">
        <v>6115</v>
      </c>
    </row>
    <row r="1962" spans="1:14" x14ac:dyDescent="0.35">
      <c r="A1962" s="1" t="s">
        <v>4321</v>
      </c>
      <c r="B1962" s="3" t="s">
        <v>93</v>
      </c>
      <c r="C1962" s="1" t="s">
        <v>109</v>
      </c>
      <c r="D1962" s="1" t="s">
        <v>6114</v>
      </c>
      <c r="E1962" s="1" t="str">
        <f>"2320"</f>
        <v>2320</v>
      </c>
      <c r="F1962" s="1" t="str">
        <f>"010948229"</f>
        <v>010948229</v>
      </c>
      <c r="G1962" s="1" t="s">
        <v>373</v>
      </c>
      <c r="H1962" s="1" t="s">
        <v>15</v>
      </c>
      <c r="I1962" s="3" t="str">
        <f>"1"</f>
        <v>1</v>
      </c>
      <c r="J1962" s="3">
        <v>9989.75</v>
      </c>
      <c r="K1962" s="2">
        <v>45858</v>
      </c>
      <c r="L1962" s="2">
        <v>45871</v>
      </c>
      <c r="M1962" s="1" t="s">
        <v>6113</v>
      </c>
      <c r="N1962" s="1" t="s">
        <v>6112</v>
      </c>
    </row>
    <row r="1963" spans="1:14" x14ac:dyDescent="0.35">
      <c r="A1963" s="1" t="s">
        <v>4321</v>
      </c>
      <c r="B1963" s="3" t="s">
        <v>2494</v>
      </c>
      <c r="C1963" s="1" t="s">
        <v>2514</v>
      </c>
      <c r="D1963" s="1" t="s">
        <v>6111</v>
      </c>
      <c r="E1963" s="1" t="str">
        <f>"2320"</f>
        <v>2320</v>
      </c>
      <c r="F1963" s="1" t="s">
        <v>321</v>
      </c>
      <c r="G1963" s="1" t="s">
        <v>322</v>
      </c>
      <c r="H1963" s="1" t="s">
        <v>15</v>
      </c>
      <c r="I1963" s="3" t="str">
        <f>"1"</f>
        <v>1</v>
      </c>
      <c r="J1963" s="3" t="str">
        <f>"80000"</f>
        <v>80000</v>
      </c>
      <c r="K1963" s="2">
        <v>45858</v>
      </c>
      <c r="L1963" s="2">
        <v>45871</v>
      </c>
      <c r="M1963" s="1" t="s">
        <v>6110</v>
      </c>
      <c r="N1963" s="1" t="s">
        <v>6109</v>
      </c>
    </row>
    <row r="1964" spans="1:14" x14ac:dyDescent="0.35">
      <c r="A1964" s="1" t="s">
        <v>4321</v>
      </c>
      <c r="B1964" s="3" t="s">
        <v>2000</v>
      </c>
      <c r="C1964" s="1" t="s">
        <v>2035</v>
      </c>
      <c r="D1964" s="1" t="s">
        <v>6108</v>
      </c>
      <c r="E1964" s="1" t="str">
        <f>"2320"</f>
        <v>2320</v>
      </c>
      <c r="F1964" s="1" t="s">
        <v>321</v>
      </c>
      <c r="G1964" s="1" t="s">
        <v>322</v>
      </c>
      <c r="H1964" s="1" t="s">
        <v>15</v>
      </c>
      <c r="I1964" s="3" t="str">
        <f>"1"</f>
        <v>1</v>
      </c>
      <c r="J1964" s="3">
        <v>512521.97</v>
      </c>
      <c r="K1964" s="2">
        <v>45858</v>
      </c>
      <c r="L1964" s="2">
        <v>45871</v>
      </c>
      <c r="M1964" s="1" t="s">
        <v>6107</v>
      </c>
      <c r="N1964" s="1" t="s">
        <v>6106</v>
      </c>
    </row>
    <row r="1965" spans="1:14" x14ac:dyDescent="0.35">
      <c r="A1965" s="1" t="s">
        <v>4321</v>
      </c>
      <c r="B1965" s="3" t="s">
        <v>2000</v>
      </c>
      <c r="C1965" s="1" t="s">
        <v>2078</v>
      </c>
      <c r="D1965" s="1" t="s">
        <v>6105</v>
      </c>
      <c r="E1965" s="1" t="str">
        <f>"2320"</f>
        <v>2320</v>
      </c>
      <c r="F1965" s="1" t="s">
        <v>321</v>
      </c>
      <c r="G1965" s="1" t="s">
        <v>322</v>
      </c>
      <c r="H1965" s="1" t="s">
        <v>15</v>
      </c>
      <c r="I1965" s="3" t="str">
        <f>"1"</f>
        <v>1</v>
      </c>
      <c r="J1965" s="3">
        <v>512521.97</v>
      </c>
      <c r="K1965" s="2">
        <v>45858</v>
      </c>
      <c r="L1965" s="2">
        <v>45871</v>
      </c>
      <c r="M1965" s="1" t="s">
        <v>6104</v>
      </c>
      <c r="N1965" s="1" t="s">
        <v>6103</v>
      </c>
    </row>
    <row r="1966" spans="1:14" x14ac:dyDescent="0.35">
      <c r="A1966" s="1" t="s">
        <v>4321</v>
      </c>
      <c r="B1966" s="3" t="s">
        <v>2248</v>
      </c>
      <c r="C1966" s="1" t="s">
        <v>2375</v>
      </c>
      <c r="D1966" s="1" t="s">
        <v>6102</v>
      </c>
      <c r="E1966" s="1" t="str">
        <f>"2320"</f>
        <v>2320</v>
      </c>
      <c r="F1966" s="1" t="s">
        <v>321</v>
      </c>
      <c r="G1966" s="1" t="s">
        <v>322</v>
      </c>
      <c r="H1966" s="1" t="s">
        <v>15</v>
      </c>
      <c r="I1966" s="3" t="str">
        <f>"1"</f>
        <v>1</v>
      </c>
      <c r="J1966" s="3">
        <v>512521.97</v>
      </c>
      <c r="K1966" s="2">
        <v>45858</v>
      </c>
      <c r="L1966" s="2">
        <v>45871</v>
      </c>
      <c r="M1966" s="1" t="s">
        <v>6101</v>
      </c>
      <c r="N1966" s="1" t="s">
        <v>6100</v>
      </c>
    </row>
    <row r="1967" spans="1:14" x14ac:dyDescent="0.35">
      <c r="A1967" s="1" t="s">
        <v>4321</v>
      </c>
      <c r="B1967" s="3" t="s">
        <v>2720</v>
      </c>
      <c r="C1967" s="1" t="s">
        <v>2897</v>
      </c>
      <c r="D1967" s="1" t="s">
        <v>6099</v>
      </c>
      <c r="E1967" s="1" t="str">
        <f>"2320"</f>
        <v>2320</v>
      </c>
      <c r="F1967" s="1" t="s">
        <v>321</v>
      </c>
      <c r="G1967" s="1" t="s">
        <v>322</v>
      </c>
      <c r="H1967" s="1" t="s">
        <v>15</v>
      </c>
      <c r="I1967" s="3" t="str">
        <f>"1"</f>
        <v>1</v>
      </c>
      <c r="J1967" s="3">
        <v>512521.97</v>
      </c>
      <c r="K1967" s="2">
        <v>45858</v>
      </c>
      <c r="L1967" s="2">
        <v>45871</v>
      </c>
      <c r="M1967" s="1" t="s">
        <v>6098</v>
      </c>
      <c r="N1967" s="1" t="s">
        <v>6097</v>
      </c>
    </row>
    <row r="1968" spans="1:14" x14ac:dyDescent="0.35">
      <c r="A1968" s="1" t="s">
        <v>4321</v>
      </c>
      <c r="B1968" s="3" t="s">
        <v>3105</v>
      </c>
      <c r="C1968" s="1" t="s">
        <v>3154</v>
      </c>
      <c r="D1968" s="1" t="s">
        <v>6096</v>
      </c>
      <c r="E1968" s="1" t="str">
        <f>"2320"</f>
        <v>2320</v>
      </c>
      <c r="F1968" s="1" t="s">
        <v>321</v>
      </c>
      <c r="G1968" s="1" t="s">
        <v>322</v>
      </c>
      <c r="H1968" s="1" t="s">
        <v>15</v>
      </c>
      <c r="I1968" s="3" t="str">
        <f>"1"</f>
        <v>1</v>
      </c>
      <c r="J1968" s="3">
        <v>512521.97</v>
      </c>
      <c r="K1968" s="2">
        <v>45858</v>
      </c>
      <c r="L1968" s="2">
        <v>45871</v>
      </c>
      <c r="M1968" s="1" t="s">
        <v>6095</v>
      </c>
      <c r="N1968" s="1" t="s">
        <v>6094</v>
      </c>
    </row>
    <row r="1969" spans="1:14" x14ac:dyDescent="0.35">
      <c r="A1969" s="1" t="s">
        <v>4321</v>
      </c>
      <c r="B1969" s="3" t="s">
        <v>3885</v>
      </c>
      <c r="C1969" s="1" t="s">
        <v>4022</v>
      </c>
      <c r="D1969" s="1" t="s">
        <v>6093</v>
      </c>
      <c r="E1969" s="1" t="str">
        <f>"2320"</f>
        <v>2320</v>
      </c>
      <c r="F1969" s="1" t="str">
        <f>"010948229"</f>
        <v>010948229</v>
      </c>
      <c r="G1969" s="1" t="s">
        <v>373</v>
      </c>
      <c r="H1969" s="1" t="s">
        <v>15</v>
      </c>
      <c r="I1969" s="3" t="str">
        <f>"1"</f>
        <v>1</v>
      </c>
      <c r="J1969" s="3">
        <v>9989.75</v>
      </c>
      <c r="K1969" s="2">
        <v>45858</v>
      </c>
      <c r="L1969" s="2">
        <v>45871</v>
      </c>
      <c r="M1969" s="1" t="s">
        <v>6092</v>
      </c>
      <c r="N1969" s="1" t="s">
        <v>6091</v>
      </c>
    </row>
    <row r="1970" spans="1:14" x14ac:dyDescent="0.35">
      <c r="A1970" s="1" t="s">
        <v>4321</v>
      </c>
      <c r="B1970" s="3" t="s">
        <v>4253</v>
      </c>
      <c r="C1970" s="1" t="s">
        <v>4268</v>
      </c>
      <c r="D1970" s="1" t="s">
        <v>6090</v>
      </c>
      <c r="E1970" s="1" t="str">
        <f>"2320"</f>
        <v>2320</v>
      </c>
      <c r="F1970" s="1" t="s">
        <v>321</v>
      </c>
      <c r="G1970" s="1" t="s">
        <v>322</v>
      </c>
      <c r="H1970" s="1" t="s">
        <v>15</v>
      </c>
      <c r="I1970" s="3" t="str">
        <f>"1"</f>
        <v>1</v>
      </c>
      <c r="J1970" s="3">
        <v>512521.97</v>
      </c>
      <c r="K1970" s="2">
        <v>45857</v>
      </c>
      <c r="L1970" s="2">
        <v>45871</v>
      </c>
      <c r="M1970" s="1" t="s">
        <v>6089</v>
      </c>
      <c r="N1970" s="1" t="s">
        <v>6088</v>
      </c>
    </row>
    <row r="1971" spans="1:14" x14ac:dyDescent="0.35">
      <c r="A1971" s="1" t="s">
        <v>4321</v>
      </c>
      <c r="B1971" s="3" t="s">
        <v>93</v>
      </c>
      <c r="C1971" s="1" t="s">
        <v>4416</v>
      </c>
      <c r="D1971" s="1" t="s">
        <v>6087</v>
      </c>
      <c r="E1971" s="1" t="str">
        <f>"2320"</f>
        <v>2320</v>
      </c>
      <c r="F1971" s="1" t="s">
        <v>321</v>
      </c>
      <c r="G1971" s="1" t="s">
        <v>322</v>
      </c>
      <c r="H1971" s="1" t="s">
        <v>15</v>
      </c>
      <c r="I1971" s="3" t="str">
        <f>"1"</f>
        <v>1</v>
      </c>
      <c r="J1971" s="3">
        <v>512521.97</v>
      </c>
      <c r="K1971" s="2">
        <v>45857</v>
      </c>
      <c r="L1971" s="2">
        <v>45871</v>
      </c>
      <c r="M1971" s="1" t="s">
        <v>6086</v>
      </c>
      <c r="N1971" s="1" t="s">
        <v>6085</v>
      </c>
    </row>
    <row r="1972" spans="1:14" x14ac:dyDescent="0.35">
      <c r="A1972" s="1" t="s">
        <v>4321</v>
      </c>
      <c r="B1972" s="3" t="s">
        <v>2000</v>
      </c>
      <c r="C1972" s="1" t="s">
        <v>2062</v>
      </c>
      <c r="D1972" s="1" t="s">
        <v>6084</v>
      </c>
      <c r="E1972" s="1" t="str">
        <f>"2320"</f>
        <v>2320</v>
      </c>
      <c r="F1972" s="1" t="s">
        <v>321</v>
      </c>
      <c r="G1972" s="1" t="s">
        <v>322</v>
      </c>
      <c r="H1972" s="1" t="s">
        <v>15</v>
      </c>
      <c r="I1972" s="3" t="str">
        <f>"1"</f>
        <v>1</v>
      </c>
      <c r="J1972" s="3">
        <v>512521.97</v>
      </c>
      <c r="K1972" s="2">
        <v>45857</v>
      </c>
      <c r="L1972" s="2">
        <v>45871</v>
      </c>
      <c r="M1972" s="1" t="s">
        <v>6083</v>
      </c>
      <c r="N1972" s="1" t="s">
        <v>6082</v>
      </c>
    </row>
    <row r="1973" spans="1:14" x14ac:dyDescent="0.35">
      <c r="A1973" s="1" t="s">
        <v>4321</v>
      </c>
      <c r="B1973" s="3" t="s">
        <v>2494</v>
      </c>
      <c r="C1973" s="1" t="s">
        <v>2584</v>
      </c>
      <c r="D1973" s="1" t="s">
        <v>6081</v>
      </c>
      <c r="E1973" s="1" t="str">
        <f>"2320"</f>
        <v>2320</v>
      </c>
      <c r="F1973" s="1" t="s">
        <v>321</v>
      </c>
      <c r="G1973" s="1" t="s">
        <v>322</v>
      </c>
      <c r="H1973" s="1" t="s">
        <v>15</v>
      </c>
      <c r="I1973" s="3" t="str">
        <f>"1"</f>
        <v>1</v>
      </c>
      <c r="J1973" s="3">
        <v>512521.97</v>
      </c>
      <c r="K1973" s="2">
        <v>45857</v>
      </c>
      <c r="L1973" s="2">
        <v>45871</v>
      </c>
      <c r="M1973" s="1" t="s">
        <v>6080</v>
      </c>
      <c r="N1973" s="1" t="s">
        <v>6079</v>
      </c>
    </row>
    <row r="1974" spans="1:14" x14ac:dyDescent="0.35">
      <c r="A1974" s="1" t="s">
        <v>4321</v>
      </c>
      <c r="B1974" s="3" t="s">
        <v>1857</v>
      </c>
      <c r="C1974" s="1" t="s">
        <v>1902</v>
      </c>
      <c r="D1974" s="1" t="s">
        <v>6078</v>
      </c>
      <c r="E1974" s="1" t="str">
        <f>"6920"</f>
        <v>6920</v>
      </c>
      <c r="F1974" s="1" t="str">
        <f>"015649656"</f>
        <v>015649656</v>
      </c>
      <c r="G1974" s="1" t="s">
        <v>6077</v>
      </c>
      <c r="H1974" s="1" t="s">
        <v>15</v>
      </c>
      <c r="I1974" s="3" t="str">
        <f>"100"</f>
        <v>100</v>
      </c>
      <c r="J1974" s="3">
        <v>377.12</v>
      </c>
      <c r="K1974" s="2">
        <v>45870</v>
      </c>
      <c r="L1974" s="2">
        <v>45870</v>
      </c>
      <c r="M1974" s="1" t="s">
        <v>6076</v>
      </c>
      <c r="N1974" s="1" t="s">
        <v>4387</v>
      </c>
    </row>
    <row r="1975" spans="1:14" x14ac:dyDescent="0.35">
      <c r="A1975" s="1" t="s">
        <v>4321</v>
      </c>
      <c r="B1975" s="3" t="s">
        <v>2000</v>
      </c>
      <c r="C1975" s="1" t="s">
        <v>2027</v>
      </c>
      <c r="D1975" s="1" t="s">
        <v>6075</v>
      </c>
      <c r="E1975" s="1" t="str">
        <f>"5855"</f>
        <v>5855</v>
      </c>
      <c r="F1975" s="1" t="str">
        <f>"015711258"</f>
        <v>015711258</v>
      </c>
      <c r="G1975" s="1" t="s">
        <v>703</v>
      </c>
      <c r="H1975" s="1" t="s">
        <v>15</v>
      </c>
      <c r="I1975" s="3" t="str">
        <f>"9"</f>
        <v>9</v>
      </c>
      <c r="J1975" s="3" t="str">
        <f>"1082"</f>
        <v>1082</v>
      </c>
      <c r="K1975" s="2">
        <v>45868</v>
      </c>
      <c r="L1975" s="2">
        <v>45870</v>
      </c>
      <c r="M1975" s="1" t="s">
        <v>6069</v>
      </c>
      <c r="N1975" s="1" t="s">
        <v>6074</v>
      </c>
    </row>
    <row r="1976" spans="1:14" x14ac:dyDescent="0.35">
      <c r="A1976" s="1" t="s">
        <v>4321</v>
      </c>
      <c r="B1976" s="3" t="s">
        <v>3183</v>
      </c>
      <c r="C1976" s="1" t="s">
        <v>3233</v>
      </c>
      <c r="D1976" s="1" t="s">
        <v>6073</v>
      </c>
      <c r="E1976" s="1" t="str">
        <f>"5855"</f>
        <v>5855</v>
      </c>
      <c r="F1976" s="1" t="str">
        <f>"015711258"</f>
        <v>015711258</v>
      </c>
      <c r="G1976" s="1" t="s">
        <v>703</v>
      </c>
      <c r="H1976" s="1" t="s">
        <v>15</v>
      </c>
      <c r="I1976" s="3" t="str">
        <f>"9"</f>
        <v>9</v>
      </c>
      <c r="J1976" s="3" t="str">
        <f>"1082"</f>
        <v>1082</v>
      </c>
      <c r="K1976" s="2">
        <v>45867</v>
      </c>
      <c r="L1976" s="2">
        <v>45870</v>
      </c>
      <c r="M1976" s="1" t="s">
        <v>6072</v>
      </c>
      <c r="N1976" s="1" t="s">
        <v>6071</v>
      </c>
    </row>
    <row r="1977" spans="1:14" x14ac:dyDescent="0.35">
      <c r="A1977" s="1" t="s">
        <v>4321</v>
      </c>
      <c r="B1977" s="3" t="s">
        <v>2000</v>
      </c>
      <c r="C1977" s="1" t="s">
        <v>2027</v>
      </c>
      <c r="D1977" s="1" t="s">
        <v>6070</v>
      </c>
      <c r="E1977" s="1" t="str">
        <f>"5855"</f>
        <v>5855</v>
      </c>
      <c r="F1977" s="1" t="str">
        <f>"015711258"</f>
        <v>015711258</v>
      </c>
      <c r="G1977" s="1" t="s">
        <v>703</v>
      </c>
      <c r="H1977" s="1" t="s">
        <v>15</v>
      </c>
      <c r="I1977" s="3" t="str">
        <f>"1"</f>
        <v>1</v>
      </c>
      <c r="J1977" s="3" t="str">
        <f>"1082"</f>
        <v>1082</v>
      </c>
      <c r="K1977" s="2">
        <v>45866</v>
      </c>
      <c r="L1977" s="2">
        <v>45870</v>
      </c>
      <c r="M1977" s="1" t="s">
        <v>6069</v>
      </c>
      <c r="N1977" s="1" t="s">
        <v>6068</v>
      </c>
    </row>
    <row r="1978" spans="1:14" x14ac:dyDescent="0.35">
      <c r="A1978" s="1" t="s">
        <v>4321</v>
      </c>
      <c r="B1978" s="3" t="s">
        <v>2456</v>
      </c>
      <c r="C1978" s="1" t="s">
        <v>2457</v>
      </c>
      <c r="D1978" s="1" t="s">
        <v>6067</v>
      </c>
      <c r="E1978" s="1" t="str">
        <f>"5855"</f>
        <v>5855</v>
      </c>
      <c r="F1978" s="1" t="str">
        <f>"015711258"</f>
        <v>015711258</v>
      </c>
      <c r="G1978" s="1" t="s">
        <v>703</v>
      </c>
      <c r="H1978" s="1" t="s">
        <v>15</v>
      </c>
      <c r="I1978" s="3" t="str">
        <f>"9"</f>
        <v>9</v>
      </c>
      <c r="J1978" s="3" t="str">
        <f>"1082"</f>
        <v>1082</v>
      </c>
      <c r="K1978" s="2">
        <v>45866</v>
      </c>
      <c r="L1978" s="2">
        <v>45870</v>
      </c>
      <c r="M1978" s="1" t="s">
        <v>6066</v>
      </c>
      <c r="N1978" s="1" t="s">
        <v>6065</v>
      </c>
    </row>
    <row r="1979" spans="1:14" x14ac:dyDescent="0.35">
      <c r="A1979" s="1" t="s">
        <v>4321</v>
      </c>
      <c r="B1979" s="3" t="s">
        <v>2000</v>
      </c>
      <c r="C1979" s="1" t="s">
        <v>2105</v>
      </c>
      <c r="D1979" s="1" t="s">
        <v>6064</v>
      </c>
      <c r="E1979" s="1" t="str">
        <f>"1240"</f>
        <v>1240</v>
      </c>
      <c r="F1979" s="1" t="str">
        <f>"015544488"</f>
        <v>015544488</v>
      </c>
      <c r="G1979" s="1" t="s">
        <v>5858</v>
      </c>
      <c r="H1979" s="1" t="s">
        <v>15</v>
      </c>
      <c r="I1979" s="3" t="str">
        <f>"4"</f>
        <v>4</v>
      </c>
      <c r="J1979" s="3" t="str">
        <f>"379"</f>
        <v>379</v>
      </c>
      <c r="K1979" s="2">
        <v>45866</v>
      </c>
      <c r="L1979" s="2">
        <v>45870</v>
      </c>
      <c r="M1979" s="1" t="s">
        <v>6063</v>
      </c>
      <c r="N1979" s="1" t="s">
        <v>6062</v>
      </c>
    </row>
    <row r="1980" spans="1:14" x14ac:dyDescent="0.35">
      <c r="A1980" s="1" t="s">
        <v>4321</v>
      </c>
      <c r="B1980" s="3" t="s">
        <v>601</v>
      </c>
      <c r="C1980" s="1" t="s">
        <v>5103</v>
      </c>
      <c r="D1980" s="1" t="s">
        <v>6061</v>
      </c>
      <c r="E1980" s="1" t="str">
        <f>"5855"</f>
        <v>5855</v>
      </c>
      <c r="F1980" s="1" t="str">
        <f>"015711258"</f>
        <v>015711258</v>
      </c>
      <c r="G1980" s="1" t="s">
        <v>703</v>
      </c>
      <c r="H1980" s="1" t="s">
        <v>15</v>
      </c>
      <c r="I1980" s="3" t="str">
        <f>"18"</f>
        <v>18</v>
      </c>
      <c r="J1980" s="3" t="str">
        <f>"1082"</f>
        <v>1082</v>
      </c>
      <c r="K1980" s="2">
        <v>45865</v>
      </c>
      <c r="L1980" s="2">
        <v>45870</v>
      </c>
      <c r="M1980" s="1" t="s">
        <v>6060</v>
      </c>
      <c r="N1980" s="1" t="s">
        <v>6059</v>
      </c>
    </row>
    <row r="1981" spans="1:14" x14ac:dyDescent="0.35">
      <c r="A1981" s="1" t="s">
        <v>4321</v>
      </c>
      <c r="B1981" s="3" t="s">
        <v>4253</v>
      </c>
      <c r="C1981" s="1" t="s">
        <v>6058</v>
      </c>
      <c r="D1981" s="1" t="s">
        <v>6057</v>
      </c>
      <c r="E1981" s="1" t="str">
        <f>"2330"</f>
        <v>2330</v>
      </c>
      <c r="F1981" s="1" t="s">
        <v>5288</v>
      </c>
      <c r="G1981" s="1" t="s">
        <v>5287</v>
      </c>
      <c r="H1981" s="1" t="s">
        <v>15</v>
      </c>
      <c r="I1981" s="3" t="str">
        <f>"1"</f>
        <v>1</v>
      </c>
      <c r="J1981" s="3">
        <v>968679.86</v>
      </c>
      <c r="K1981" s="2">
        <v>45860</v>
      </c>
      <c r="L1981" s="2">
        <v>45870</v>
      </c>
      <c r="M1981" s="1" t="s">
        <v>6056</v>
      </c>
      <c r="N1981" s="1" t="s">
        <v>6055</v>
      </c>
    </row>
    <row r="1982" spans="1:14" x14ac:dyDescent="0.35">
      <c r="A1982" s="1" t="s">
        <v>4321</v>
      </c>
      <c r="B1982" s="3" t="s">
        <v>806</v>
      </c>
      <c r="C1982" s="1" t="s">
        <v>1000</v>
      </c>
      <c r="D1982" s="1" t="s">
        <v>6054</v>
      </c>
      <c r="E1982" s="1" t="str">
        <f>"5120"</f>
        <v>5120</v>
      </c>
      <c r="F1982" s="1" t="s">
        <v>128</v>
      </c>
      <c r="G1982" s="1" t="s">
        <v>129</v>
      </c>
      <c r="H1982" s="1" t="s">
        <v>15</v>
      </c>
      <c r="I1982" s="3" t="str">
        <f>"5"</f>
        <v>5</v>
      </c>
      <c r="J1982" s="3" t="str">
        <f>"75"</f>
        <v>75</v>
      </c>
      <c r="K1982" s="2">
        <v>45856</v>
      </c>
      <c r="L1982" s="2">
        <v>45870</v>
      </c>
      <c r="M1982" s="1" t="s">
        <v>6053</v>
      </c>
      <c r="N1982" s="1" t="s">
        <v>6052</v>
      </c>
    </row>
    <row r="1983" spans="1:14" x14ac:dyDescent="0.35">
      <c r="A1983" s="1" t="s">
        <v>4321</v>
      </c>
      <c r="B1983" s="3" t="s">
        <v>806</v>
      </c>
      <c r="C1983" s="1" t="s">
        <v>1000</v>
      </c>
      <c r="D1983" s="1" t="s">
        <v>6051</v>
      </c>
      <c r="E1983" s="1" t="str">
        <f>"5855"</f>
        <v>5855</v>
      </c>
      <c r="F1983" s="1" t="str">
        <f>"010273628"</f>
        <v>010273628</v>
      </c>
      <c r="G1983" s="1" t="s">
        <v>6050</v>
      </c>
      <c r="H1983" s="1" t="s">
        <v>15</v>
      </c>
      <c r="I1983" s="3" t="str">
        <f>"3"</f>
        <v>3</v>
      </c>
      <c r="J1983" s="3" t="str">
        <f>"2655"</f>
        <v>2655</v>
      </c>
      <c r="K1983" s="2">
        <v>45856</v>
      </c>
      <c r="L1983" s="2">
        <v>45870</v>
      </c>
      <c r="M1983" s="1" t="s">
        <v>6049</v>
      </c>
      <c r="N1983" s="1" t="s">
        <v>6048</v>
      </c>
    </row>
    <row r="1984" spans="1:14" x14ac:dyDescent="0.35">
      <c r="A1984" s="1" t="s">
        <v>4321</v>
      </c>
      <c r="B1984" s="3" t="s">
        <v>2248</v>
      </c>
      <c r="C1984" s="1" t="s">
        <v>5710</v>
      </c>
      <c r="D1984" s="1" t="s">
        <v>6047</v>
      </c>
      <c r="E1984" s="1" t="str">
        <f>"8145"</f>
        <v>8145</v>
      </c>
      <c r="F1984" s="1" t="s">
        <v>2742</v>
      </c>
      <c r="G1984" s="1" t="s">
        <v>2743</v>
      </c>
      <c r="H1984" s="1" t="s">
        <v>15</v>
      </c>
      <c r="I1984" s="3" t="str">
        <f>"12"</f>
        <v>12</v>
      </c>
      <c r="J1984" s="3" t="str">
        <f>"49"</f>
        <v>49</v>
      </c>
      <c r="K1984" s="2">
        <v>45825</v>
      </c>
      <c r="L1984" s="2">
        <v>45870</v>
      </c>
      <c r="M1984" s="1" t="s">
        <v>6046</v>
      </c>
      <c r="N1984" s="1" t="s">
        <v>6045</v>
      </c>
    </row>
    <row r="1985" spans="1:14" x14ac:dyDescent="0.35">
      <c r="A1985" s="1" t="s">
        <v>4321</v>
      </c>
      <c r="B1985" s="3" t="s">
        <v>2145</v>
      </c>
      <c r="C1985" s="1" t="s">
        <v>2153</v>
      </c>
      <c r="D1985" s="1" t="s">
        <v>6044</v>
      </c>
      <c r="E1985" s="1" t="str">
        <f>"5836"</f>
        <v>5836</v>
      </c>
      <c r="F1985" s="1" t="str">
        <f>"016414522"</f>
        <v>016414522</v>
      </c>
      <c r="G1985" s="1" t="s">
        <v>6040</v>
      </c>
      <c r="H1985" s="1" t="s">
        <v>15</v>
      </c>
      <c r="I1985" s="3" t="str">
        <f>"1"</f>
        <v>1</v>
      </c>
      <c r="J1985" s="3">
        <v>368.64</v>
      </c>
      <c r="K1985" s="2">
        <v>45799</v>
      </c>
      <c r="L1985" s="2">
        <v>45870</v>
      </c>
      <c r="M1985" s="1" t="s">
        <v>6043</v>
      </c>
      <c r="N1985" s="1" t="s">
        <v>6042</v>
      </c>
    </row>
    <row r="1986" spans="1:14" x14ac:dyDescent="0.35">
      <c r="A1986" s="1" t="s">
        <v>4321</v>
      </c>
      <c r="B1986" s="3" t="s">
        <v>2145</v>
      </c>
      <c r="C1986" s="1" t="s">
        <v>2153</v>
      </c>
      <c r="D1986" s="1" t="s">
        <v>6041</v>
      </c>
      <c r="E1986" s="1" t="str">
        <f>"5836"</f>
        <v>5836</v>
      </c>
      <c r="F1986" s="1" t="str">
        <f>"016414522"</f>
        <v>016414522</v>
      </c>
      <c r="G1986" s="1" t="s">
        <v>6040</v>
      </c>
      <c r="H1986" s="1" t="s">
        <v>15</v>
      </c>
      <c r="I1986" s="3" t="str">
        <f>"2"</f>
        <v>2</v>
      </c>
      <c r="J1986" s="3">
        <v>368.64</v>
      </c>
      <c r="K1986" s="2">
        <v>45799</v>
      </c>
      <c r="L1986" s="2">
        <v>45870</v>
      </c>
      <c r="M1986" s="1" t="s">
        <v>6039</v>
      </c>
      <c r="N1986" s="1" t="s">
        <v>6038</v>
      </c>
    </row>
    <row r="1987" spans="1:14" x14ac:dyDescent="0.35">
      <c r="A1987" s="1" t="s">
        <v>4321</v>
      </c>
      <c r="B1987" s="3" t="s">
        <v>93</v>
      </c>
      <c r="C1987" s="1" t="s">
        <v>369</v>
      </c>
      <c r="D1987" s="1" t="s">
        <v>6037</v>
      </c>
      <c r="E1987" s="1" t="str">
        <f>"6645"</f>
        <v>6645</v>
      </c>
      <c r="F1987" s="1" t="s">
        <v>2796</v>
      </c>
      <c r="G1987" s="1" t="s">
        <v>2797</v>
      </c>
      <c r="H1987" s="1" t="s">
        <v>15</v>
      </c>
      <c r="I1987" s="3" t="str">
        <f>"5"</f>
        <v>5</v>
      </c>
      <c r="J1987" s="3" t="str">
        <f>"50"</f>
        <v>50</v>
      </c>
      <c r="K1987" s="2">
        <v>45868</v>
      </c>
      <c r="L1987" s="2">
        <v>45869</v>
      </c>
      <c r="M1987" s="1" t="s">
        <v>6036</v>
      </c>
      <c r="N1987" s="1" t="s">
        <v>4343</v>
      </c>
    </row>
    <row r="1988" spans="1:14" x14ac:dyDescent="0.35">
      <c r="A1988" s="1" t="s">
        <v>4321</v>
      </c>
      <c r="B1988" s="3" t="s">
        <v>2444</v>
      </c>
      <c r="C1988" s="1" t="s">
        <v>2445</v>
      </c>
      <c r="D1988" s="1" t="s">
        <v>6035</v>
      </c>
      <c r="E1988" s="1" t="str">
        <f>"4240"</f>
        <v>4240</v>
      </c>
      <c r="F1988" s="1" t="str">
        <f>"015800195"</f>
        <v>015800195</v>
      </c>
      <c r="G1988" s="1" t="s">
        <v>6034</v>
      </c>
      <c r="H1988" s="1" t="s">
        <v>15</v>
      </c>
      <c r="I1988" s="3" t="str">
        <f>"8"</f>
        <v>8</v>
      </c>
      <c r="J1988" s="3">
        <v>75.900000000000006</v>
      </c>
      <c r="K1988" s="2">
        <v>45867</v>
      </c>
      <c r="L1988" s="2">
        <v>45869</v>
      </c>
      <c r="M1988" s="1" t="s">
        <v>6033</v>
      </c>
      <c r="N1988" s="1" t="s">
        <v>6032</v>
      </c>
    </row>
    <row r="1989" spans="1:14" x14ac:dyDescent="0.35">
      <c r="A1989" s="1" t="s">
        <v>4321</v>
      </c>
      <c r="B1989" s="3" t="s">
        <v>2444</v>
      </c>
      <c r="C1989" s="1" t="s">
        <v>2445</v>
      </c>
      <c r="D1989" s="1" t="s">
        <v>6031</v>
      </c>
      <c r="E1989" s="1" t="str">
        <f>"6230"</f>
        <v>6230</v>
      </c>
      <c r="F1989" s="1" t="s">
        <v>178</v>
      </c>
      <c r="G1989" s="1" t="s">
        <v>179</v>
      </c>
      <c r="H1989" s="1" t="s">
        <v>15</v>
      </c>
      <c r="I1989" s="3" t="str">
        <f>"4"</f>
        <v>4</v>
      </c>
      <c r="J1989" s="3" t="str">
        <f>"144"</f>
        <v>144</v>
      </c>
      <c r="K1989" s="2">
        <v>45867</v>
      </c>
      <c r="L1989" s="2">
        <v>45869</v>
      </c>
      <c r="M1989" s="1" t="s">
        <v>6030</v>
      </c>
      <c r="N1989" s="1" t="s">
        <v>6029</v>
      </c>
    </row>
    <row r="1990" spans="1:14" x14ac:dyDescent="0.35">
      <c r="A1990" s="1" t="s">
        <v>4321</v>
      </c>
      <c r="B1990" s="3" t="s">
        <v>2987</v>
      </c>
      <c r="C1990" s="1" t="s">
        <v>2991</v>
      </c>
      <c r="D1990" s="1" t="s">
        <v>6028</v>
      </c>
      <c r="E1990" s="1" t="str">
        <f>"8465"</f>
        <v>8465</v>
      </c>
      <c r="F1990" s="1" t="s">
        <v>2516</v>
      </c>
      <c r="G1990" s="1" t="s">
        <v>2517</v>
      </c>
      <c r="H1990" s="1" t="s">
        <v>15</v>
      </c>
      <c r="I1990" s="3" t="str">
        <f>"6"</f>
        <v>6</v>
      </c>
      <c r="J1990" s="3" t="str">
        <f>"125"</f>
        <v>125</v>
      </c>
      <c r="K1990" s="2">
        <v>45866</v>
      </c>
      <c r="L1990" s="2">
        <v>45869</v>
      </c>
      <c r="M1990" s="1" t="s">
        <v>6027</v>
      </c>
      <c r="N1990" s="1" t="s">
        <v>6026</v>
      </c>
    </row>
    <row r="1991" spans="1:14" x14ac:dyDescent="0.35">
      <c r="A1991" s="1" t="s">
        <v>4321</v>
      </c>
      <c r="B1991" s="3" t="s">
        <v>2494</v>
      </c>
      <c r="C1991" s="1" t="s">
        <v>2514</v>
      </c>
      <c r="D1991" s="1" t="s">
        <v>6025</v>
      </c>
      <c r="E1991" s="1" t="str">
        <f>"5120"</f>
        <v>5120</v>
      </c>
      <c r="F1991" s="1" t="str">
        <f>"016486836"</f>
        <v>016486836</v>
      </c>
      <c r="G1991" s="1" t="s">
        <v>949</v>
      </c>
      <c r="H1991" s="1" t="s">
        <v>19</v>
      </c>
      <c r="I1991" s="3" t="str">
        <f>"2"</f>
        <v>2</v>
      </c>
      <c r="J1991" s="3">
        <v>130.63999999999999</v>
      </c>
      <c r="K1991" s="2">
        <v>45866</v>
      </c>
      <c r="L1991" s="2">
        <v>45869</v>
      </c>
      <c r="M1991" s="1" t="s">
        <v>6024</v>
      </c>
      <c r="N1991" s="1" t="s">
        <v>6023</v>
      </c>
    </row>
    <row r="1992" spans="1:14" x14ac:dyDescent="0.35">
      <c r="A1992" s="1" t="s">
        <v>4321</v>
      </c>
      <c r="B1992" s="3" t="s">
        <v>2494</v>
      </c>
      <c r="C1992" s="1" t="s">
        <v>6022</v>
      </c>
      <c r="D1992" s="1" t="s">
        <v>6021</v>
      </c>
      <c r="E1992" s="1" t="str">
        <f>"5120"</f>
        <v>5120</v>
      </c>
      <c r="F1992" s="1" t="str">
        <f>"016486836"</f>
        <v>016486836</v>
      </c>
      <c r="G1992" s="1" t="s">
        <v>949</v>
      </c>
      <c r="H1992" s="1" t="s">
        <v>19</v>
      </c>
      <c r="I1992" s="3" t="str">
        <f>"2"</f>
        <v>2</v>
      </c>
      <c r="J1992" s="3">
        <v>130.63999999999999</v>
      </c>
      <c r="K1992" s="2">
        <v>45866</v>
      </c>
      <c r="L1992" s="2">
        <v>45869</v>
      </c>
      <c r="M1992" s="1" t="s">
        <v>6020</v>
      </c>
      <c r="N1992" s="1" t="s">
        <v>6019</v>
      </c>
    </row>
    <row r="1993" spans="1:14" x14ac:dyDescent="0.35">
      <c r="A1993" s="1" t="s">
        <v>4321</v>
      </c>
      <c r="B1993" s="3" t="s">
        <v>1445</v>
      </c>
      <c r="C1993" s="1" t="s">
        <v>1459</v>
      </c>
      <c r="D1993" s="1" t="s">
        <v>6018</v>
      </c>
      <c r="E1993" s="1" t="str">
        <f>"6720"</f>
        <v>6720</v>
      </c>
      <c r="F1993" s="1" t="s">
        <v>443</v>
      </c>
      <c r="G1993" s="1" t="s">
        <v>444</v>
      </c>
      <c r="H1993" s="1" t="s">
        <v>15</v>
      </c>
      <c r="I1993" s="3" t="str">
        <f>"12"</f>
        <v>12</v>
      </c>
      <c r="J1993" s="3" t="str">
        <f>"699"</f>
        <v>699</v>
      </c>
      <c r="K1993" s="2">
        <v>45865</v>
      </c>
      <c r="L1993" s="2">
        <v>45869</v>
      </c>
      <c r="M1993" s="1" t="s">
        <v>6017</v>
      </c>
      <c r="N1993" s="1" t="s">
        <v>6016</v>
      </c>
    </row>
    <row r="1994" spans="1:14" x14ac:dyDescent="0.35">
      <c r="A1994" s="1" t="s">
        <v>4321</v>
      </c>
      <c r="B1994" s="3" t="s">
        <v>3183</v>
      </c>
      <c r="C1994" s="1" t="s">
        <v>3364</v>
      </c>
      <c r="D1994" s="1" t="s">
        <v>6015</v>
      </c>
      <c r="E1994" s="1" t="str">
        <f>"6720"</f>
        <v>6720</v>
      </c>
      <c r="F1994" s="1" t="s">
        <v>443</v>
      </c>
      <c r="G1994" s="1" t="s">
        <v>444</v>
      </c>
      <c r="H1994" s="1" t="s">
        <v>15</v>
      </c>
      <c r="I1994" s="3" t="str">
        <f>"3"</f>
        <v>3</v>
      </c>
      <c r="J1994" s="3" t="str">
        <f>"699"</f>
        <v>699</v>
      </c>
      <c r="K1994" s="2">
        <v>45865</v>
      </c>
      <c r="L1994" s="2">
        <v>45869</v>
      </c>
      <c r="M1994" s="1" t="s">
        <v>5969</v>
      </c>
      <c r="N1994" s="1" t="s">
        <v>6014</v>
      </c>
    </row>
    <row r="1995" spans="1:14" x14ac:dyDescent="0.35">
      <c r="A1995" s="1" t="s">
        <v>4321</v>
      </c>
      <c r="B1995" s="3" t="s">
        <v>3183</v>
      </c>
      <c r="C1995" s="1" t="s">
        <v>3435</v>
      </c>
      <c r="D1995" s="1" t="s">
        <v>6013</v>
      </c>
      <c r="E1995" s="1" t="str">
        <f>"3805"</f>
        <v>3805</v>
      </c>
      <c r="F1995" s="1" t="s">
        <v>2913</v>
      </c>
      <c r="G1995" s="1" t="s">
        <v>2914</v>
      </c>
      <c r="H1995" s="1" t="s">
        <v>15</v>
      </c>
      <c r="I1995" s="3" t="str">
        <f>"1"</f>
        <v>1</v>
      </c>
      <c r="J1995" s="3" t="str">
        <f>"33500"</f>
        <v>33500</v>
      </c>
      <c r="K1995" s="2">
        <v>45864</v>
      </c>
      <c r="L1995" s="2">
        <v>45869</v>
      </c>
      <c r="M1995" s="1" t="s">
        <v>6012</v>
      </c>
      <c r="N1995" s="1" t="s">
        <v>6011</v>
      </c>
    </row>
    <row r="1996" spans="1:14" x14ac:dyDescent="0.35">
      <c r="A1996" s="1" t="s">
        <v>4321</v>
      </c>
      <c r="B1996" s="3" t="s">
        <v>601</v>
      </c>
      <c r="C1996" s="1" t="s">
        <v>641</v>
      </c>
      <c r="D1996" s="1" t="s">
        <v>6010</v>
      </c>
      <c r="E1996" s="1" t="str">
        <f>"6760"</f>
        <v>6760</v>
      </c>
      <c r="F1996" s="1" t="s">
        <v>680</v>
      </c>
      <c r="G1996" s="1" t="s">
        <v>681</v>
      </c>
      <c r="H1996" s="1" t="s">
        <v>15</v>
      </c>
      <c r="I1996" s="3" t="str">
        <f>"1"</f>
        <v>1</v>
      </c>
      <c r="J1996" s="3" t="str">
        <f>"149"</f>
        <v>149</v>
      </c>
      <c r="K1996" s="2">
        <v>45862</v>
      </c>
      <c r="L1996" s="2">
        <v>45869</v>
      </c>
      <c r="M1996" s="1" t="s">
        <v>6009</v>
      </c>
      <c r="N1996" s="1" t="s">
        <v>4343</v>
      </c>
    </row>
    <row r="1997" spans="1:14" x14ac:dyDescent="0.35">
      <c r="A1997" s="1" t="s">
        <v>4321</v>
      </c>
      <c r="B1997" s="3" t="s">
        <v>2248</v>
      </c>
      <c r="C1997" s="1" t="s">
        <v>2265</v>
      </c>
      <c r="D1997" s="1" t="s">
        <v>6008</v>
      </c>
      <c r="E1997" s="1" t="str">
        <f>"5855"</f>
        <v>5855</v>
      </c>
      <c r="F1997" s="1" t="str">
        <f>"014778741"</f>
        <v>014778741</v>
      </c>
      <c r="G1997" s="1" t="s">
        <v>1942</v>
      </c>
      <c r="H1997" s="1" t="s">
        <v>15</v>
      </c>
      <c r="I1997" s="3" t="str">
        <f>"1"</f>
        <v>1</v>
      </c>
      <c r="J1997" s="3" t="str">
        <f>"10165"</f>
        <v>10165</v>
      </c>
      <c r="K1997" s="2">
        <v>45859</v>
      </c>
      <c r="L1997" s="2">
        <v>45869</v>
      </c>
      <c r="M1997" s="1" t="s">
        <v>6005</v>
      </c>
      <c r="N1997" s="1" t="s">
        <v>4343</v>
      </c>
    </row>
    <row r="1998" spans="1:14" x14ac:dyDescent="0.35">
      <c r="A1998" s="1" t="s">
        <v>4321</v>
      </c>
      <c r="B1998" s="3" t="s">
        <v>2248</v>
      </c>
      <c r="C1998" s="1" t="s">
        <v>2265</v>
      </c>
      <c r="D1998" s="1" t="s">
        <v>6007</v>
      </c>
      <c r="E1998" s="1" t="str">
        <f>"5855"</f>
        <v>5855</v>
      </c>
      <c r="F1998" s="1" t="str">
        <f>"014778741"</f>
        <v>014778741</v>
      </c>
      <c r="G1998" s="1" t="s">
        <v>1942</v>
      </c>
      <c r="H1998" s="1" t="s">
        <v>15</v>
      </c>
      <c r="I1998" s="3" t="str">
        <f>"1"</f>
        <v>1</v>
      </c>
      <c r="J1998" s="3" t="str">
        <f>"10165"</f>
        <v>10165</v>
      </c>
      <c r="K1998" s="2">
        <v>45859</v>
      </c>
      <c r="L1998" s="2">
        <v>45869</v>
      </c>
      <c r="M1998" s="1" t="s">
        <v>6005</v>
      </c>
      <c r="N1998" s="1" t="s">
        <v>4343</v>
      </c>
    </row>
    <row r="1999" spans="1:14" x14ac:dyDescent="0.35">
      <c r="A1999" s="1" t="s">
        <v>4321</v>
      </c>
      <c r="B1999" s="3" t="s">
        <v>2248</v>
      </c>
      <c r="C1999" s="1" t="s">
        <v>2265</v>
      </c>
      <c r="D1999" s="1" t="s">
        <v>6006</v>
      </c>
      <c r="E1999" s="1" t="str">
        <f>"5855"</f>
        <v>5855</v>
      </c>
      <c r="F1999" s="1" t="str">
        <f>"014778741"</f>
        <v>014778741</v>
      </c>
      <c r="G1999" s="1" t="s">
        <v>1942</v>
      </c>
      <c r="H1999" s="1" t="s">
        <v>15</v>
      </c>
      <c r="I1999" s="3" t="str">
        <f>"1"</f>
        <v>1</v>
      </c>
      <c r="J1999" s="3" t="str">
        <f>"10165"</f>
        <v>10165</v>
      </c>
      <c r="K1999" s="2">
        <v>45859</v>
      </c>
      <c r="L1999" s="2">
        <v>45869</v>
      </c>
      <c r="M1999" s="1" t="s">
        <v>6005</v>
      </c>
      <c r="N1999" s="1" t="s">
        <v>4343</v>
      </c>
    </row>
    <row r="2000" spans="1:14" x14ac:dyDescent="0.35">
      <c r="A2000" s="1" t="s">
        <v>4321</v>
      </c>
      <c r="B2000" s="3" t="s">
        <v>2000</v>
      </c>
      <c r="C2000" s="1" t="s">
        <v>2065</v>
      </c>
      <c r="D2000" s="1" t="s">
        <v>6004</v>
      </c>
      <c r="E2000" s="1" t="str">
        <f>"5855"</f>
        <v>5855</v>
      </c>
      <c r="F2000" s="1" t="str">
        <f>"014778741"</f>
        <v>014778741</v>
      </c>
      <c r="G2000" s="1" t="s">
        <v>1942</v>
      </c>
      <c r="H2000" s="1" t="s">
        <v>15</v>
      </c>
      <c r="I2000" s="3" t="str">
        <f>"1"</f>
        <v>1</v>
      </c>
      <c r="J2000" s="3" t="str">
        <f>"10165"</f>
        <v>10165</v>
      </c>
      <c r="K2000" s="2">
        <v>45858</v>
      </c>
      <c r="L2000" s="2">
        <v>45869</v>
      </c>
      <c r="M2000" s="1" t="s">
        <v>2067</v>
      </c>
      <c r="N2000" s="1" t="s">
        <v>6003</v>
      </c>
    </row>
    <row r="2001" spans="1:14" x14ac:dyDescent="0.35">
      <c r="A2001" s="1" t="s">
        <v>4321</v>
      </c>
      <c r="B2001" s="3" t="s">
        <v>2000</v>
      </c>
      <c r="C2001" s="1" t="s">
        <v>2065</v>
      </c>
      <c r="D2001" s="1" t="s">
        <v>6002</v>
      </c>
      <c r="E2001" s="1" t="str">
        <f>"5855"</f>
        <v>5855</v>
      </c>
      <c r="F2001" s="1" t="str">
        <f>"014778741"</f>
        <v>014778741</v>
      </c>
      <c r="G2001" s="1" t="s">
        <v>1942</v>
      </c>
      <c r="H2001" s="1" t="s">
        <v>15</v>
      </c>
      <c r="I2001" s="3" t="str">
        <f>"1"</f>
        <v>1</v>
      </c>
      <c r="J2001" s="3" t="str">
        <f>"10165"</f>
        <v>10165</v>
      </c>
      <c r="K2001" s="2">
        <v>45858</v>
      </c>
      <c r="L2001" s="2">
        <v>45869</v>
      </c>
      <c r="M2001" s="1" t="s">
        <v>2067</v>
      </c>
      <c r="N2001" s="1" t="s">
        <v>6001</v>
      </c>
    </row>
    <row r="2002" spans="1:14" x14ac:dyDescent="0.35">
      <c r="A2002" s="1" t="s">
        <v>4321</v>
      </c>
      <c r="B2002" s="3" t="s">
        <v>2000</v>
      </c>
      <c r="C2002" s="1" t="s">
        <v>2065</v>
      </c>
      <c r="D2002" s="1" t="s">
        <v>6000</v>
      </c>
      <c r="E2002" s="1" t="str">
        <f>"5855"</f>
        <v>5855</v>
      </c>
      <c r="F2002" s="1" t="str">
        <f>"014778741"</f>
        <v>014778741</v>
      </c>
      <c r="G2002" s="1" t="s">
        <v>1942</v>
      </c>
      <c r="H2002" s="1" t="s">
        <v>15</v>
      </c>
      <c r="I2002" s="3" t="str">
        <f>"1"</f>
        <v>1</v>
      </c>
      <c r="J2002" s="3" t="str">
        <f>"10165"</f>
        <v>10165</v>
      </c>
      <c r="K2002" s="2">
        <v>45858</v>
      </c>
      <c r="L2002" s="2">
        <v>45869</v>
      </c>
      <c r="M2002" s="1" t="s">
        <v>2067</v>
      </c>
      <c r="N2002" s="1" t="s">
        <v>5999</v>
      </c>
    </row>
    <row r="2003" spans="1:14" x14ac:dyDescent="0.35">
      <c r="A2003" s="1" t="s">
        <v>4321</v>
      </c>
      <c r="B2003" s="3" t="s">
        <v>3513</v>
      </c>
      <c r="C2003" s="1" t="s">
        <v>3514</v>
      </c>
      <c r="D2003" s="1" t="s">
        <v>5998</v>
      </c>
      <c r="E2003" s="1" t="str">
        <f>"5120"</f>
        <v>5120</v>
      </c>
      <c r="F2003" s="1" t="s">
        <v>5997</v>
      </c>
      <c r="G2003" s="1" t="s">
        <v>5996</v>
      </c>
      <c r="H2003" s="1" t="s">
        <v>15</v>
      </c>
      <c r="I2003" s="3" t="str">
        <f>"2"</f>
        <v>2</v>
      </c>
      <c r="J2003" s="3">
        <v>9.25</v>
      </c>
      <c r="K2003" s="2">
        <v>45836</v>
      </c>
      <c r="L2003" s="2">
        <v>45869</v>
      </c>
      <c r="M2003" s="1" t="s">
        <v>5995</v>
      </c>
      <c r="N2003" s="1" t="s">
        <v>5994</v>
      </c>
    </row>
    <row r="2004" spans="1:14" x14ac:dyDescent="0.35">
      <c r="A2004" s="1" t="s">
        <v>4321</v>
      </c>
      <c r="B2004" s="3" t="s">
        <v>3183</v>
      </c>
      <c r="C2004" s="1" t="s">
        <v>3233</v>
      </c>
      <c r="D2004" s="1" t="s">
        <v>5993</v>
      </c>
      <c r="E2004" s="1" t="str">
        <f>"1240"</f>
        <v>1240</v>
      </c>
      <c r="F2004" s="1" t="str">
        <f>"014925264"</f>
        <v>014925264</v>
      </c>
      <c r="G2004" s="1" t="s">
        <v>5858</v>
      </c>
      <c r="H2004" s="1" t="s">
        <v>15</v>
      </c>
      <c r="I2004" s="3" t="str">
        <f>"9"</f>
        <v>9</v>
      </c>
      <c r="J2004" s="3">
        <v>706.4</v>
      </c>
      <c r="K2004" s="2">
        <v>45867</v>
      </c>
      <c r="L2004" s="2">
        <v>45868</v>
      </c>
      <c r="M2004" s="1" t="s">
        <v>5990</v>
      </c>
      <c r="N2004" s="1" t="s">
        <v>5992</v>
      </c>
    </row>
    <row r="2005" spans="1:14" x14ac:dyDescent="0.35">
      <c r="A2005" s="1" t="s">
        <v>4321</v>
      </c>
      <c r="B2005" s="3" t="s">
        <v>3183</v>
      </c>
      <c r="C2005" s="1" t="s">
        <v>3233</v>
      </c>
      <c r="D2005" s="1" t="s">
        <v>5991</v>
      </c>
      <c r="E2005" s="1" t="str">
        <f>"1240"</f>
        <v>1240</v>
      </c>
      <c r="F2005" s="1" t="str">
        <f>"014925264"</f>
        <v>014925264</v>
      </c>
      <c r="G2005" s="1" t="s">
        <v>5858</v>
      </c>
      <c r="H2005" s="1" t="s">
        <v>15</v>
      </c>
      <c r="I2005" s="3" t="str">
        <f>"9"</f>
        <v>9</v>
      </c>
      <c r="J2005" s="3">
        <v>706.4</v>
      </c>
      <c r="K2005" s="2">
        <v>45867</v>
      </c>
      <c r="L2005" s="2">
        <v>45868</v>
      </c>
      <c r="M2005" s="1" t="s">
        <v>5990</v>
      </c>
      <c r="N2005" s="1" t="s">
        <v>5989</v>
      </c>
    </row>
    <row r="2006" spans="1:14" x14ac:dyDescent="0.35">
      <c r="A2006" s="1" t="s">
        <v>4321</v>
      </c>
      <c r="B2006" s="3" t="s">
        <v>3183</v>
      </c>
      <c r="C2006" s="1" t="s">
        <v>3435</v>
      </c>
      <c r="D2006" s="1" t="s">
        <v>5988</v>
      </c>
      <c r="E2006" s="1" t="str">
        <f>"2320"</f>
        <v>2320</v>
      </c>
      <c r="F2006" s="1" t="s">
        <v>321</v>
      </c>
      <c r="G2006" s="1" t="s">
        <v>322</v>
      </c>
      <c r="H2006" s="1" t="s">
        <v>15</v>
      </c>
      <c r="I2006" s="3" t="str">
        <f>"1"</f>
        <v>1</v>
      </c>
      <c r="J2006" s="3">
        <v>55605.5</v>
      </c>
      <c r="K2006" s="2">
        <v>45867</v>
      </c>
      <c r="L2006" s="2">
        <v>45868</v>
      </c>
      <c r="M2006" s="1" t="s">
        <v>5987</v>
      </c>
      <c r="N2006" s="1" t="s">
        <v>5986</v>
      </c>
    </row>
    <row r="2007" spans="1:14" x14ac:dyDescent="0.35">
      <c r="A2007" s="1" t="s">
        <v>4321</v>
      </c>
      <c r="B2007" s="3" t="s">
        <v>1699</v>
      </c>
      <c r="C2007" s="1" t="s">
        <v>1750</v>
      </c>
      <c r="D2007" s="1" t="s">
        <v>5985</v>
      </c>
      <c r="E2007" s="1" t="str">
        <f>"5836"</f>
        <v>5836</v>
      </c>
      <c r="F2007" s="1" t="s">
        <v>5957</v>
      </c>
      <c r="G2007" s="1" t="s">
        <v>5956</v>
      </c>
      <c r="H2007" s="1" t="s">
        <v>15</v>
      </c>
      <c r="I2007" s="3" t="str">
        <f>"1"</f>
        <v>1</v>
      </c>
      <c r="J2007" s="3" t="str">
        <f>"128"</f>
        <v>128</v>
      </c>
      <c r="K2007" s="2">
        <v>45866</v>
      </c>
      <c r="L2007" s="2">
        <v>45868</v>
      </c>
      <c r="M2007" s="1" t="s">
        <v>5984</v>
      </c>
      <c r="N2007" s="1" t="s">
        <v>5983</v>
      </c>
    </row>
    <row r="2008" spans="1:14" x14ac:dyDescent="0.35">
      <c r="A2008" s="1" t="s">
        <v>4321</v>
      </c>
      <c r="B2008" s="3" t="s">
        <v>2000</v>
      </c>
      <c r="C2008" s="1" t="s">
        <v>2105</v>
      </c>
      <c r="D2008" s="1" t="s">
        <v>5982</v>
      </c>
      <c r="E2008" s="1" t="str">
        <f>"6230"</f>
        <v>6230</v>
      </c>
      <c r="F2008" s="1" t="str">
        <f>"015911564"</f>
        <v>015911564</v>
      </c>
      <c r="G2008" s="1" t="s">
        <v>538</v>
      </c>
      <c r="H2008" s="1" t="s">
        <v>15</v>
      </c>
      <c r="I2008" s="3" t="str">
        <f>"18"</f>
        <v>18</v>
      </c>
      <c r="J2008" s="3">
        <v>582.45000000000005</v>
      </c>
      <c r="K2008" s="2">
        <v>45866</v>
      </c>
      <c r="L2008" s="2">
        <v>45868</v>
      </c>
      <c r="M2008" s="1" t="s">
        <v>5981</v>
      </c>
      <c r="N2008" s="1" t="s">
        <v>5980</v>
      </c>
    </row>
    <row r="2009" spans="1:14" x14ac:dyDescent="0.35">
      <c r="A2009" s="1" t="s">
        <v>4321</v>
      </c>
      <c r="B2009" s="3" t="s">
        <v>2720</v>
      </c>
      <c r="C2009" s="1" t="s">
        <v>2931</v>
      </c>
      <c r="D2009" s="1" t="s">
        <v>5979</v>
      </c>
      <c r="E2009" s="1" t="str">
        <f>"4240"</f>
        <v>4240</v>
      </c>
      <c r="F2009" s="1" t="s">
        <v>2689</v>
      </c>
      <c r="G2009" s="1" t="s">
        <v>2690</v>
      </c>
      <c r="H2009" s="1" t="s">
        <v>15</v>
      </c>
      <c r="I2009" s="3" t="str">
        <f>"50"</f>
        <v>50</v>
      </c>
      <c r="J2009" s="3">
        <v>81.99</v>
      </c>
      <c r="K2009" s="2">
        <v>45866</v>
      </c>
      <c r="L2009" s="2">
        <v>45868</v>
      </c>
      <c r="M2009" s="1" t="s">
        <v>5978</v>
      </c>
      <c r="N2009" s="1" t="s">
        <v>5977</v>
      </c>
    </row>
    <row r="2010" spans="1:14" x14ac:dyDescent="0.35">
      <c r="A2010" s="1" t="s">
        <v>4321</v>
      </c>
      <c r="B2010" s="3" t="s">
        <v>1445</v>
      </c>
      <c r="C2010" s="1" t="s">
        <v>1459</v>
      </c>
      <c r="D2010" s="1" t="s">
        <v>5976</v>
      </c>
      <c r="E2010" s="1" t="str">
        <f>"6720"</f>
        <v>6720</v>
      </c>
      <c r="F2010" s="1" t="str">
        <f>"015595685"</f>
        <v>015595685</v>
      </c>
      <c r="G2010" s="1" t="s">
        <v>1550</v>
      </c>
      <c r="H2010" s="1" t="s">
        <v>15</v>
      </c>
      <c r="I2010" s="3" t="str">
        <f>"4"</f>
        <v>4</v>
      </c>
      <c r="J2010" s="3">
        <v>1919.95</v>
      </c>
      <c r="K2010" s="2">
        <v>45865</v>
      </c>
      <c r="L2010" s="2">
        <v>45868</v>
      </c>
      <c r="M2010" s="1" t="s">
        <v>5975</v>
      </c>
      <c r="N2010" s="1" t="s">
        <v>5974</v>
      </c>
    </row>
    <row r="2011" spans="1:14" x14ac:dyDescent="0.35">
      <c r="A2011" s="1" t="s">
        <v>4321</v>
      </c>
      <c r="B2011" s="3" t="s">
        <v>1445</v>
      </c>
      <c r="C2011" s="1" t="s">
        <v>1459</v>
      </c>
      <c r="D2011" s="1" t="s">
        <v>5973</v>
      </c>
      <c r="E2011" s="1" t="str">
        <f>"6230"</f>
        <v>6230</v>
      </c>
      <c r="F2011" s="1" t="str">
        <f>"015911564"</f>
        <v>015911564</v>
      </c>
      <c r="G2011" s="1" t="s">
        <v>538</v>
      </c>
      <c r="H2011" s="1" t="s">
        <v>15</v>
      </c>
      <c r="I2011" s="3" t="str">
        <f>"8"</f>
        <v>8</v>
      </c>
      <c r="J2011" s="3">
        <v>582.45000000000005</v>
      </c>
      <c r="K2011" s="2">
        <v>45865</v>
      </c>
      <c r="L2011" s="2">
        <v>45868</v>
      </c>
      <c r="M2011" s="1" t="s">
        <v>5972</v>
      </c>
      <c r="N2011" s="1" t="s">
        <v>5971</v>
      </c>
    </row>
    <row r="2012" spans="1:14" x14ac:dyDescent="0.35">
      <c r="A2012" s="1" t="s">
        <v>4321</v>
      </c>
      <c r="B2012" s="3" t="s">
        <v>3183</v>
      </c>
      <c r="C2012" s="1" t="s">
        <v>3364</v>
      </c>
      <c r="D2012" s="1" t="s">
        <v>5970</v>
      </c>
      <c r="E2012" s="1" t="str">
        <f>"6720"</f>
        <v>6720</v>
      </c>
      <c r="F2012" s="1" t="str">
        <f>"015595685"</f>
        <v>015595685</v>
      </c>
      <c r="G2012" s="1" t="s">
        <v>1550</v>
      </c>
      <c r="H2012" s="1" t="s">
        <v>15</v>
      </c>
      <c r="I2012" s="3" t="str">
        <f>"2"</f>
        <v>2</v>
      </c>
      <c r="J2012" s="3">
        <v>1919.95</v>
      </c>
      <c r="K2012" s="2">
        <v>45865</v>
      </c>
      <c r="L2012" s="2">
        <v>45868</v>
      </c>
      <c r="M2012" s="1" t="s">
        <v>5969</v>
      </c>
      <c r="N2012" s="1" t="s">
        <v>5968</v>
      </c>
    </row>
    <row r="2013" spans="1:14" x14ac:dyDescent="0.35">
      <c r="A2013" s="1" t="s">
        <v>4321</v>
      </c>
      <c r="B2013" s="3" t="s">
        <v>4087</v>
      </c>
      <c r="C2013" s="1" t="s">
        <v>4121</v>
      </c>
      <c r="D2013" s="1" t="s">
        <v>5967</v>
      </c>
      <c r="E2013" s="1" t="str">
        <f>"7520"</f>
        <v>7520</v>
      </c>
      <c r="F2013" s="1" t="str">
        <f>"011863605"</f>
        <v>011863605</v>
      </c>
      <c r="G2013" s="1" t="s">
        <v>5966</v>
      </c>
      <c r="H2013" s="1" t="s">
        <v>5965</v>
      </c>
      <c r="I2013" s="3" t="str">
        <f>"6"</f>
        <v>6</v>
      </c>
      <c r="J2013" s="3">
        <v>12.6</v>
      </c>
      <c r="K2013" s="2">
        <v>45864</v>
      </c>
      <c r="L2013" s="2">
        <v>45868</v>
      </c>
      <c r="M2013" s="1" t="s">
        <v>5964</v>
      </c>
      <c r="N2013" s="1" t="s">
        <v>4343</v>
      </c>
    </row>
    <row r="2014" spans="1:14" x14ac:dyDescent="0.35">
      <c r="A2014" s="1" t="s">
        <v>4321</v>
      </c>
      <c r="B2014" s="3" t="s">
        <v>3183</v>
      </c>
      <c r="C2014" s="1" t="s">
        <v>3435</v>
      </c>
      <c r="D2014" s="1" t="s">
        <v>5963</v>
      </c>
      <c r="E2014" s="1" t="str">
        <f>"7110"</f>
        <v>7110</v>
      </c>
      <c r="F2014" s="1" t="s">
        <v>5962</v>
      </c>
      <c r="G2014" s="1" t="s">
        <v>5961</v>
      </c>
      <c r="H2014" s="1" t="s">
        <v>15</v>
      </c>
      <c r="I2014" s="3" t="str">
        <f>"1"</f>
        <v>1</v>
      </c>
      <c r="J2014" s="3">
        <v>6733.3</v>
      </c>
      <c r="K2014" s="2">
        <v>45864</v>
      </c>
      <c r="L2014" s="2">
        <v>45868</v>
      </c>
      <c r="M2014" s="1" t="s">
        <v>5960</v>
      </c>
      <c r="N2014" s="1" t="s">
        <v>5959</v>
      </c>
    </row>
    <row r="2015" spans="1:14" x14ac:dyDescent="0.35">
      <c r="A2015" s="1" t="s">
        <v>4321</v>
      </c>
      <c r="B2015" s="3" t="s">
        <v>3183</v>
      </c>
      <c r="C2015" s="1" t="s">
        <v>3435</v>
      </c>
      <c r="D2015" s="1" t="s">
        <v>5958</v>
      </c>
      <c r="E2015" s="1" t="str">
        <f>"5836"</f>
        <v>5836</v>
      </c>
      <c r="F2015" s="1" t="s">
        <v>5957</v>
      </c>
      <c r="G2015" s="1" t="s">
        <v>5956</v>
      </c>
      <c r="H2015" s="1" t="s">
        <v>15</v>
      </c>
      <c r="I2015" s="3" t="str">
        <f>"1"</f>
        <v>1</v>
      </c>
      <c r="J2015" s="3" t="str">
        <f>"128"</f>
        <v>128</v>
      </c>
      <c r="K2015" s="2">
        <v>45864</v>
      </c>
      <c r="L2015" s="2">
        <v>45868</v>
      </c>
      <c r="M2015" s="1" t="s">
        <v>5955</v>
      </c>
      <c r="N2015" s="1" t="s">
        <v>5954</v>
      </c>
    </row>
    <row r="2016" spans="1:14" x14ac:dyDescent="0.35">
      <c r="A2016" s="1" t="s">
        <v>4321</v>
      </c>
      <c r="B2016" s="3" t="s">
        <v>3183</v>
      </c>
      <c r="C2016" s="1" t="s">
        <v>3435</v>
      </c>
      <c r="D2016" s="1" t="s">
        <v>5953</v>
      </c>
      <c r="E2016" s="1" t="str">
        <f>"6515"</f>
        <v>6515</v>
      </c>
      <c r="F2016" s="1" t="str">
        <f>"009357138"</f>
        <v>009357138</v>
      </c>
      <c r="G2016" s="1" t="s">
        <v>1210</v>
      </c>
      <c r="H2016" s="1" t="s">
        <v>15</v>
      </c>
      <c r="I2016" s="3" t="str">
        <f>"4"</f>
        <v>4</v>
      </c>
      <c r="J2016" s="3">
        <v>15.11</v>
      </c>
      <c r="K2016" s="2">
        <v>45864</v>
      </c>
      <c r="L2016" s="2">
        <v>45868</v>
      </c>
      <c r="M2016" s="1" t="s">
        <v>5952</v>
      </c>
      <c r="N2016" s="1" t="s">
        <v>5951</v>
      </c>
    </row>
    <row r="2017" spans="1:14" x14ac:dyDescent="0.35">
      <c r="A2017" s="1" t="s">
        <v>4321</v>
      </c>
      <c r="B2017" s="3" t="s">
        <v>93</v>
      </c>
      <c r="C2017" s="1" t="s">
        <v>267</v>
      </c>
      <c r="D2017" s="1" t="s">
        <v>5950</v>
      </c>
      <c r="E2017" s="1" t="str">
        <f>"5855"</f>
        <v>5855</v>
      </c>
      <c r="F2017" s="1" t="s">
        <v>1926</v>
      </c>
      <c r="G2017" s="1" t="s">
        <v>1927</v>
      </c>
      <c r="H2017" s="1" t="s">
        <v>15</v>
      </c>
      <c r="I2017" s="3" t="str">
        <f>"2"</f>
        <v>2</v>
      </c>
      <c r="J2017" s="3" t="str">
        <f>"500"</f>
        <v>500</v>
      </c>
      <c r="K2017" s="2">
        <v>45862</v>
      </c>
      <c r="L2017" s="2">
        <v>45868</v>
      </c>
      <c r="M2017" s="1" t="s">
        <v>287</v>
      </c>
      <c r="N2017" s="1" t="s">
        <v>5949</v>
      </c>
    </row>
    <row r="2018" spans="1:14" x14ac:dyDescent="0.35">
      <c r="A2018" s="1" t="s">
        <v>4321</v>
      </c>
      <c r="B2018" s="3" t="s">
        <v>3183</v>
      </c>
      <c r="C2018" s="1" t="s">
        <v>3376</v>
      </c>
      <c r="D2018" s="1" t="s">
        <v>5948</v>
      </c>
      <c r="E2018" s="1" t="str">
        <f>"3940"</f>
        <v>3940</v>
      </c>
      <c r="F2018" s="1" t="str">
        <f>"013904083"</f>
        <v>013904083</v>
      </c>
      <c r="G2018" s="1" t="s">
        <v>5947</v>
      </c>
      <c r="H2018" s="1" t="s">
        <v>15</v>
      </c>
      <c r="I2018" s="3" t="str">
        <f>"12"</f>
        <v>12</v>
      </c>
      <c r="J2018" s="3">
        <v>1146.2</v>
      </c>
      <c r="K2018" s="2">
        <v>45861</v>
      </c>
      <c r="L2018" s="2">
        <v>45868</v>
      </c>
      <c r="M2018" s="1" t="s">
        <v>5946</v>
      </c>
      <c r="N2018" s="1" t="s">
        <v>5945</v>
      </c>
    </row>
    <row r="2019" spans="1:14" x14ac:dyDescent="0.35">
      <c r="A2019" s="1" t="s">
        <v>4321</v>
      </c>
      <c r="B2019" s="3" t="s">
        <v>806</v>
      </c>
      <c r="C2019" s="1" t="s">
        <v>994</v>
      </c>
      <c r="D2019" s="1" t="s">
        <v>5944</v>
      </c>
      <c r="E2019" s="1" t="str">
        <f>"2340"</f>
        <v>2340</v>
      </c>
      <c r="F2019" s="1" t="s">
        <v>694</v>
      </c>
      <c r="G2019" s="1" t="s">
        <v>695</v>
      </c>
      <c r="H2019" s="1" t="s">
        <v>15</v>
      </c>
      <c r="I2019" s="3" t="str">
        <f>"1"</f>
        <v>1</v>
      </c>
      <c r="J2019" s="3" t="str">
        <f>"13550"</f>
        <v>13550</v>
      </c>
      <c r="K2019" s="2">
        <v>45861</v>
      </c>
      <c r="L2019" s="2">
        <v>45868</v>
      </c>
      <c r="M2019" s="1" t="s">
        <v>5701</v>
      </c>
      <c r="N2019" s="1" t="s">
        <v>5943</v>
      </c>
    </row>
    <row r="2020" spans="1:14" x14ac:dyDescent="0.35">
      <c r="A2020" s="1" t="s">
        <v>4321</v>
      </c>
      <c r="B2020" s="3" t="s">
        <v>2720</v>
      </c>
      <c r="C2020" s="1" t="s">
        <v>2779</v>
      </c>
      <c r="D2020" s="1" t="s">
        <v>5942</v>
      </c>
      <c r="E2020" s="1" t="str">
        <f>"5180"</f>
        <v>5180</v>
      </c>
      <c r="F2020" s="1" t="str">
        <f>"015068287"</f>
        <v>015068287</v>
      </c>
      <c r="G2020" s="1" t="s">
        <v>18</v>
      </c>
      <c r="H2020" s="1" t="s">
        <v>19</v>
      </c>
      <c r="I2020" s="3" t="str">
        <f>"1"</f>
        <v>1</v>
      </c>
      <c r="J2020" s="3" t="str">
        <f>"1774"</f>
        <v>1774</v>
      </c>
      <c r="K2020" s="2">
        <v>45854</v>
      </c>
      <c r="L2020" s="2">
        <v>45868</v>
      </c>
      <c r="N2020" s="1" t="s">
        <v>5941</v>
      </c>
    </row>
    <row r="2021" spans="1:14" x14ac:dyDescent="0.35">
      <c r="A2021" s="1" t="s">
        <v>4321</v>
      </c>
      <c r="B2021" s="3" t="s">
        <v>2720</v>
      </c>
      <c r="C2021" s="1" t="s">
        <v>2779</v>
      </c>
      <c r="D2021" s="1" t="s">
        <v>5940</v>
      </c>
      <c r="E2021" s="1" t="str">
        <f>"1005"</f>
        <v>1005</v>
      </c>
      <c r="F2021" s="1" t="s">
        <v>1383</v>
      </c>
      <c r="G2021" s="1" t="s">
        <v>1384</v>
      </c>
      <c r="H2021" s="1" t="s">
        <v>15</v>
      </c>
      <c r="I2021" s="3" t="str">
        <f>"2"</f>
        <v>2</v>
      </c>
      <c r="J2021" s="3" t="str">
        <f>"250"</f>
        <v>250</v>
      </c>
      <c r="K2021" s="2">
        <v>45854</v>
      </c>
      <c r="L2021" s="2">
        <v>45868</v>
      </c>
      <c r="N2021" s="1" t="s">
        <v>5939</v>
      </c>
    </row>
    <row r="2022" spans="1:14" x14ac:dyDescent="0.35">
      <c r="A2022" s="1" t="s">
        <v>4321</v>
      </c>
      <c r="B2022" s="3" t="s">
        <v>2720</v>
      </c>
      <c r="C2022" s="1" t="s">
        <v>2779</v>
      </c>
      <c r="D2022" s="1" t="s">
        <v>5938</v>
      </c>
      <c r="E2022" s="1" t="str">
        <f>"8465"</f>
        <v>8465</v>
      </c>
      <c r="F2022" s="1" t="str">
        <f>"015800481"</f>
        <v>015800481</v>
      </c>
      <c r="G2022" s="1" t="s">
        <v>934</v>
      </c>
      <c r="H2022" s="1" t="s">
        <v>58</v>
      </c>
      <c r="I2022" s="3" t="str">
        <f>"2"</f>
        <v>2</v>
      </c>
      <c r="J2022" s="3">
        <v>306.95</v>
      </c>
      <c r="K2022" s="2">
        <v>45854</v>
      </c>
      <c r="L2022" s="2">
        <v>45868</v>
      </c>
      <c r="N2022" s="1" t="s">
        <v>5937</v>
      </c>
    </row>
    <row r="2023" spans="1:14" x14ac:dyDescent="0.35">
      <c r="A2023" s="1" t="s">
        <v>4321</v>
      </c>
      <c r="B2023" s="3" t="s">
        <v>2720</v>
      </c>
      <c r="C2023" s="1" t="s">
        <v>2779</v>
      </c>
      <c r="D2023" s="1" t="s">
        <v>5936</v>
      </c>
      <c r="E2023" s="1" t="str">
        <f>"8460"</f>
        <v>8460</v>
      </c>
      <c r="F2023" s="1" t="str">
        <f>"006068366"</f>
        <v>006068366</v>
      </c>
      <c r="G2023" s="1" t="s">
        <v>699</v>
      </c>
      <c r="H2023" s="1" t="s">
        <v>15</v>
      </c>
      <c r="I2023" s="3" t="str">
        <f>"13"</f>
        <v>13</v>
      </c>
      <c r="J2023" s="3">
        <v>39.590000000000003</v>
      </c>
      <c r="K2023" s="2">
        <v>45854</v>
      </c>
      <c r="L2023" s="2">
        <v>45868</v>
      </c>
      <c r="N2023" s="1" t="s">
        <v>5935</v>
      </c>
    </row>
    <row r="2024" spans="1:14" x14ac:dyDescent="0.35">
      <c r="A2024" s="1" t="s">
        <v>4321</v>
      </c>
      <c r="B2024" s="3" t="s">
        <v>2720</v>
      </c>
      <c r="C2024" s="1" t="s">
        <v>2779</v>
      </c>
      <c r="D2024" s="1" t="s">
        <v>5934</v>
      </c>
      <c r="E2024" s="1" t="str">
        <f>"8415"</f>
        <v>8415</v>
      </c>
      <c r="F2024" s="1" t="s">
        <v>1359</v>
      </c>
      <c r="G2024" s="1" t="s">
        <v>1360</v>
      </c>
      <c r="H2024" s="1" t="s">
        <v>15</v>
      </c>
      <c r="I2024" s="3" t="str">
        <f>"5"</f>
        <v>5</v>
      </c>
      <c r="J2024" s="3">
        <v>51.4</v>
      </c>
      <c r="K2024" s="2">
        <v>45854</v>
      </c>
      <c r="L2024" s="2">
        <v>45868</v>
      </c>
      <c r="N2024" s="1" t="s">
        <v>5933</v>
      </c>
    </row>
    <row r="2025" spans="1:14" x14ac:dyDescent="0.35">
      <c r="A2025" s="1" t="s">
        <v>4321</v>
      </c>
      <c r="B2025" s="3" t="s">
        <v>2720</v>
      </c>
      <c r="C2025" s="1" t="s">
        <v>2779</v>
      </c>
      <c r="D2025" s="1" t="s">
        <v>5932</v>
      </c>
      <c r="E2025" s="1" t="str">
        <f>"8415"</f>
        <v>8415</v>
      </c>
      <c r="F2025" s="1" t="s">
        <v>5931</v>
      </c>
      <c r="G2025" s="1" t="s">
        <v>5930</v>
      </c>
      <c r="H2025" s="1" t="s">
        <v>15</v>
      </c>
      <c r="I2025" s="3" t="str">
        <f>"10"</f>
        <v>10</v>
      </c>
      <c r="J2025" s="3">
        <v>60.96</v>
      </c>
      <c r="K2025" s="2">
        <v>45854</v>
      </c>
      <c r="L2025" s="2">
        <v>45868</v>
      </c>
      <c r="N2025" s="1" t="s">
        <v>5929</v>
      </c>
    </row>
    <row r="2026" spans="1:14" x14ac:dyDescent="0.35">
      <c r="A2026" s="1" t="s">
        <v>4321</v>
      </c>
      <c r="B2026" s="3" t="s">
        <v>2720</v>
      </c>
      <c r="C2026" s="1" t="s">
        <v>2779</v>
      </c>
      <c r="D2026" s="1" t="s">
        <v>5928</v>
      </c>
      <c r="E2026" s="1" t="str">
        <f>"8415"</f>
        <v>8415</v>
      </c>
      <c r="F2026" s="1" t="s">
        <v>1359</v>
      </c>
      <c r="G2026" s="1" t="s">
        <v>1360</v>
      </c>
      <c r="H2026" s="1" t="s">
        <v>15</v>
      </c>
      <c r="I2026" s="3" t="str">
        <f>"7"</f>
        <v>7</v>
      </c>
      <c r="J2026" s="3">
        <v>51.4</v>
      </c>
      <c r="K2026" s="2">
        <v>45854</v>
      </c>
      <c r="L2026" s="2">
        <v>45868</v>
      </c>
      <c r="N2026" s="1" t="s">
        <v>5927</v>
      </c>
    </row>
    <row r="2027" spans="1:14" x14ac:dyDescent="0.35">
      <c r="A2027" s="1" t="s">
        <v>4321</v>
      </c>
      <c r="B2027" s="3" t="s">
        <v>2720</v>
      </c>
      <c r="C2027" s="1" t="s">
        <v>2779</v>
      </c>
      <c r="D2027" s="1" t="s">
        <v>5926</v>
      </c>
      <c r="E2027" s="1" t="str">
        <f>"8415"</f>
        <v>8415</v>
      </c>
      <c r="F2027" s="1" t="str">
        <f>"015386742"</f>
        <v>015386742</v>
      </c>
      <c r="G2027" s="1" t="s">
        <v>839</v>
      </c>
      <c r="H2027" s="1" t="s">
        <v>15</v>
      </c>
      <c r="I2027" s="3" t="str">
        <f>"5"</f>
        <v>5</v>
      </c>
      <c r="J2027" s="3">
        <v>66.42</v>
      </c>
      <c r="K2027" s="2">
        <v>45854</v>
      </c>
      <c r="L2027" s="2">
        <v>45868</v>
      </c>
      <c r="N2027" s="1" t="s">
        <v>5925</v>
      </c>
    </row>
    <row r="2028" spans="1:14" x14ac:dyDescent="0.35">
      <c r="A2028" s="1" t="s">
        <v>4321</v>
      </c>
      <c r="B2028" s="3" t="s">
        <v>2720</v>
      </c>
      <c r="C2028" s="1" t="s">
        <v>2779</v>
      </c>
      <c r="D2028" s="1" t="s">
        <v>5924</v>
      </c>
      <c r="E2028" s="1" t="str">
        <f>"8340"</f>
        <v>8340</v>
      </c>
      <c r="F2028" s="1" t="str">
        <f>"015216438"</f>
        <v>015216438</v>
      </c>
      <c r="G2028" s="1" t="s">
        <v>757</v>
      </c>
      <c r="H2028" s="1" t="s">
        <v>15</v>
      </c>
      <c r="I2028" s="3" t="str">
        <f>"2"</f>
        <v>2</v>
      </c>
      <c r="J2028" s="3">
        <v>383.11</v>
      </c>
      <c r="K2028" s="2">
        <v>45854</v>
      </c>
      <c r="L2028" s="2">
        <v>45868</v>
      </c>
      <c r="N2028" s="1" t="s">
        <v>5923</v>
      </c>
    </row>
    <row r="2029" spans="1:14" x14ac:dyDescent="0.35">
      <c r="A2029" s="1" t="s">
        <v>4321</v>
      </c>
      <c r="B2029" s="3" t="s">
        <v>2720</v>
      </c>
      <c r="C2029" s="1" t="s">
        <v>2779</v>
      </c>
      <c r="D2029" s="1" t="s">
        <v>5922</v>
      </c>
      <c r="E2029" s="1" t="str">
        <f>"8465"</f>
        <v>8465</v>
      </c>
      <c r="F2029" s="1" t="str">
        <f>"015250585"</f>
        <v>015250585</v>
      </c>
      <c r="G2029" s="1" t="s">
        <v>4001</v>
      </c>
      <c r="H2029" s="1" t="s">
        <v>15</v>
      </c>
      <c r="I2029" s="3" t="str">
        <f>"15"</f>
        <v>15</v>
      </c>
      <c r="J2029" s="3">
        <v>13.06</v>
      </c>
      <c r="K2029" s="2">
        <v>45854</v>
      </c>
      <c r="L2029" s="2">
        <v>45868</v>
      </c>
      <c r="N2029" s="1" t="s">
        <v>5921</v>
      </c>
    </row>
    <row r="2030" spans="1:14" x14ac:dyDescent="0.35">
      <c r="A2030" s="1" t="s">
        <v>4321</v>
      </c>
      <c r="B2030" s="3" t="s">
        <v>2720</v>
      </c>
      <c r="C2030" s="1" t="s">
        <v>2779</v>
      </c>
      <c r="D2030" s="1" t="s">
        <v>5920</v>
      </c>
      <c r="E2030" s="1" t="str">
        <f>"6645"</f>
        <v>6645</v>
      </c>
      <c r="F2030" s="1" t="s">
        <v>2796</v>
      </c>
      <c r="G2030" s="1" t="s">
        <v>2797</v>
      </c>
      <c r="H2030" s="1" t="s">
        <v>15</v>
      </c>
      <c r="I2030" s="3" t="str">
        <f>"2"</f>
        <v>2</v>
      </c>
      <c r="J2030" s="3">
        <v>68.540000000000006</v>
      </c>
      <c r="K2030" s="2">
        <v>45854</v>
      </c>
      <c r="L2030" s="2">
        <v>45868</v>
      </c>
      <c r="N2030" s="1" t="s">
        <v>5919</v>
      </c>
    </row>
    <row r="2031" spans="1:14" x14ac:dyDescent="0.35">
      <c r="A2031" s="1" t="s">
        <v>4321</v>
      </c>
      <c r="B2031" s="3" t="s">
        <v>2720</v>
      </c>
      <c r="C2031" s="1" t="s">
        <v>2779</v>
      </c>
      <c r="D2031" s="1" t="s">
        <v>5918</v>
      </c>
      <c r="E2031" s="1" t="str">
        <f>"6645"</f>
        <v>6645</v>
      </c>
      <c r="F2031" s="1" t="s">
        <v>2796</v>
      </c>
      <c r="G2031" s="1" t="s">
        <v>2797</v>
      </c>
      <c r="H2031" s="1" t="s">
        <v>15</v>
      </c>
      <c r="I2031" s="3" t="str">
        <f>"1"</f>
        <v>1</v>
      </c>
      <c r="J2031" s="3">
        <v>68.540000000000006</v>
      </c>
      <c r="K2031" s="2">
        <v>45854</v>
      </c>
      <c r="L2031" s="2">
        <v>45868</v>
      </c>
      <c r="N2031" s="1" t="s">
        <v>5917</v>
      </c>
    </row>
    <row r="2032" spans="1:14" x14ac:dyDescent="0.35">
      <c r="A2032" s="1" t="s">
        <v>4321</v>
      </c>
      <c r="B2032" s="3" t="s">
        <v>2720</v>
      </c>
      <c r="C2032" s="1" t="s">
        <v>2779</v>
      </c>
      <c r="D2032" s="1" t="s">
        <v>5916</v>
      </c>
      <c r="E2032" s="1" t="str">
        <f>"8465"</f>
        <v>8465</v>
      </c>
      <c r="F2032" s="1" t="str">
        <f>"016416358"</f>
        <v>016416358</v>
      </c>
      <c r="G2032" s="1" t="s">
        <v>857</v>
      </c>
      <c r="H2032" s="1" t="s">
        <v>15</v>
      </c>
      <c r="I2032" s="3" t="str">
        <f>"12"</f>
        <v>12</v>
      </c>
      <c r="J2032" s="3" t="str">
        <f>"120"</f>
        <v>120</v>
      </c>
      <c r="K2032" s="2">
        <v>45854</v>
      </c>
      <c r="L2032" s="2">
        <v>45868</v>
      </c>
      <c r="N2032" s="1" t="s">
        <v>5915</v>
      </c>
    </row>
    <row r="2033" spans="1:14" x14ac:dyDescent="0.35">
      <c r="A2033" s="1" t="s">
        <v>4321</v>
      </c>
      <c r="B2033" s="3" t="s">
        <v>1699</v>
      </c>
      <c r="C2033" s="1" t="s">
        <v>1764</v>
      </c>
      <c r="D2033" s="1" t="s">
        <v>5914</v>
      </c>
      <c r="E2033" s="1" t="str">
        <f>"6115"</f>
        <v>6115</v>
      </c>
      <c r="F2033" s="1" t="s">
        <v>174</v>
      </c>
      <c r="G2033" s="1" t="s">
        <v>175</v>
      </c>
      <c r="H2033" s="1" t="s">
        <v>15</v>
      </c>
      <c r="I2033" s="3" t="str">
        <f>"1"</f>
        <v>1</v>
      </c>
      <c r="J2033" s="3" t="str">
        <f>"135000"</f>
        <v>135000</v>
      </c>
      <c r="K2033" s="2">
        <v>45845</v>
      </c>
      <c r="L2033" s="2">
        <v>45868</v>
      </c>
      <c r="M2033" s="1" t="s">
        <v>1776</v>
      </c>
      <c r="N2033" s="1" t="s">
        <v>5913</v>
      </c>
    </row>
    <row r="2034" spans="1:14" x14ac:dyDescent="0.35">
      <c r="A2034" s="1" t="s">
        <v>4321</v>
      </c>
      <c r="B2034" s="3" t="s">
        <v>1445</v>
      </c>
      <c r="C2034" s="1" t="s">
        <v>5316</v>
      </c>
      <c r="D2034" s="1" t="s">
        <v>5912</v>
      </c>
      <c r="E2034" s="1" t="str">
        <f>"1615"</f>
        <v>1615</v>
      </c>
      <c r="F2034" s="1" t="str">
        <f>"012149163"</f>
        <v>012149163</v>
      </c>
      <c r="G2034" s="1" t="s">
        <v>5911</v>
      </c>
      <c r="H2034" s="1" t="s">
        <v>15</v>
      </c>
      <c r="I2034" s="3" t="str">
        <f>"4"</f>
        <v>4</v>
      </c>
      <c r="J2034" s="3">
        <v>2534.37</v>
      </c>
      <c r="K2034" s="2">
        <v>45826</v>
      </c>
      <c r="L2034" s="2">
        <v>45868</v>
      </c>
      <c r="M2034" s="1" t="s">
        <v>5910</v>
      </c>
      <c r="N2034" s="1" t="s">
        <v>5909</v>
      </c>
    </row>
    <row r="2035" spans="1:14" x14ac:dyDescent="0.35">
      <c r="A2035" s="1" t="s">
        <v>4321</v>
      </c>
      <c r="B2035" s="3" t="s">
        <v>2000</v>
      </c>
      <c r="C2035" s="1" t="s">
        <v>2062</v>
      </c>
      <c r="D2035" s="1" t="s">
        <v>5908</v>
      </c>
      <c r="E2035" s="1" t="str">
        <f>"2320"</f>
        <v>2320</v>
      </c>
      <c r="F2035" s="1" t="str">
        <f>"015629341"</f>
        <v>015629341</v>
      </c>
      <c r="G2035" s="1" t="s">
        <v>604</v>
      </c>
      <c r="H2035" s="1" t="s">
        <v>15</v>
      </c>
      <c r="I2035" s="3" t="str">
        <f>"1"</f>
        <v>1</v>
      </c>
      <c r="J2035" s="3" t="str">
        <f>"321959"</f>
        <v>321959</v>
      </c>
      <c r="K2035" s="2">
        <v>45824</v>
      </c>
      <c r="L2035" s="2">
        <v>45868</v>
      </c>
      <c r="M2035" s="1" t="s">
        <v>5907</v>
      </c>
      <c r="N2035" s="1" t="s">
        <v>5906</v>
      </c>
    </row>
    <row r="2036" spans="1:14" x14ac:dyDescent="0.35">
      <c r="A2036" s="1" t="s">
        <v>4321</v>
      </c>
      <c r="B2036" s="3" t="s">
        <v>3105</v>
      </c>
      <c r="C2036" s="1" t="s">
        <v>5905</v>
      </c>
      <c r="D2036" s="1" t="s">
        <v>5904</v>
      </c>
      <c r="E2036" s="1" t="str">
        <f>"6545"</f>
        <v>6545</v>
      </c>
      <c r="F2036" s="1" t="str">
        <f>"016320167"</f>
        <v>016320167</v>
      </c>
      <c r="G2036" s="1" t="s">
        <v>1046</v>
      </c>
      <c r="H2036" s="1" t="s">
        <v>19</v>
      </c>
      <c r="I2036" s="3" t="str">
        <f>"30"</f>
        <v>30</v>
      </c>
      <c r="J2036" s="3">
        <v>422.49</v>
      </c>
      <c r="K2036" s="2">
        <v>45754</v>
      </c>
      <c r="L2036" s="2">
        <v>45868</v>
      </c>
      <c r="M2036" s="1" t="s">
        <v>5903</v>
      </c>
      <c r="N2036" s="1" t="s">
        <v>5902</v>
      </c>
    </row>
    <row r="2037" spans="1:14" x14ac:dyDescent="0.35">
      <c r="A2037" s="1" t="s">
        <v>4321</v>
      </c>
      <c r="B2037" s="3" t="s">
        <v>2987</v>
      </c>
      <c r="C2037" s="1" t="s">
        <v>3002</v>
      </c>
      <c r="D2037" s="1" t="s">
        <v>5901</v>
      </c>
      <c r="E2037" s="1" t="str">
        <f>"2320"</f>
        <v>2320</v>
      </c>
      <c r="F2037" s="1" t="str">
        <f>"014187400"</f>
        <v>014187400</v>
      </c>
      <c r="G2037" s="1" t="s">
        <v>604</v>
      </c>
      <c r="H2037" s="1" t="s">
        <v>15</v>
      </c>
      <c r="I2037" s="3" t="str">
        <f>"1"</f>
        <v>1</v>
      </c>
      <c r="J2037" s="3" t="str">
        <f>"188000"</f>
        <v>188000</v>
      </c>
      <c r="K2037" s="2">
        <v>45867</v>
      </c>
      <c r="L2037" s="2">
        <v>45867</v>
      </c>
      <c r="M2037" s="1" t="s">
        <v>3004</v>
      </c>
      <c r="N2037" s="1" t="s">
        <v>4387</v>
      </c>
    </row>
    <row r="2038" spans="1:14" x14ac:dyDescent="0.35">
      <c r="A2038" s="1" t="s">
        <v>4321</v>
      </c>
      <c r="B2038" s="3" t="s">
        <v>2987</v>
      </c>
      <c r="C2038" s="1" t="s">
        <v>3002</v>
      </c>
      <c r="D2038" s="1" t="s">
        <v>5900</v>
      </c>
      <c r="E2038" s="1" t="str">
        <f>"2320"</f>
        <v>2320</v>
      </c>
      <c r="F2038" s="1" t="str">
        <f>"014187400"</f>
        <v>014187400</v>
      </c>
      <c r="G2038" s="1" t="s">
        <v>604</v>
      </c>
      <c r="H2038" s="1" t="s">
        <v>15</v>
      </c>
      <c r="I2038" s="3" t="str">
        <f>"1"</f>
        <v>1</v>
      </c>
      <c r="J2038" s="3" t="str">
        <f>"188000"</f>
        <v>188000</v>
      </c>
      <c r="K2038" s="2">
        <v>45867</v>
      </c>
      <c r="L2038" s="2">
        <v>45867</v>
      </c>
      <c r="M2038" s="1" t="s">
        <v>3004</v>
      </c>
      <c r="N2038" s="1" t="s">
        <v>4387</v>
      </c>
    </row>
    <row r="2039" spans="1:14" x14ac:dyDescent="0.35">
      <c r="A2039" s="1" t="s">
        <v>4321</v>
      </c>
      <c r="B2039" s="3" t="s">
        <v>3183</v>
      </c>
      <c r="C2039" s="1" t="s">
        <v>3233</v>
      </c>
      <c r="D2039" s="1" t="s">
        <v>5899</v>
      </c>
      <c r="E2039" s="1" t="str">
        <f>"5855"</f>
        <v>5855</v>
      </c>
      <c r="F2039" s="1" t="str">
        <f>"015711258"</f>
        <v>015711258</v>
      </c>
      <c r="G2039" s="1" t="s">
        <v>703</v>
      </c>
      <c r="H2039" s="1" t="s">
        <v>15</v>
      </c>
      <c r="I2039" s="3" t="str">
        <f>"18"</f>
        <v>18</v>
      </c>
      <c r="J2039" s="3" t="str">
        <f>"1082"</f>
        <v>1082</v>
      </c>
      <c r="K2039" s="2">
        <v>45867</v>
      </c>
      <c r="L2039" s="2">
        <v>45867</v>
      </c>
      <c r="M2039" s="1" t="s">
        <v>5898</v>
      </c>
      <c r="N2039" s="1" t="s">
        <v>4387</v>
      </c>
    </row>
    <row r="2040" spans="1:14" x14ac:dyDescent="0.35">
      <c r="A2040" s="1" t="s">
        <v>4321</v>
      </c>
      <c r="B2040" s="3" t="s">
        <v>3183</v>
      </c>
      <c r="C2040" s="1" t="s">
        <v>3435</v>
      </c>
      <c r="D2040" s="1" t="s">
        <v>5897</v>
      </c>
      <c r="E2040" s="1" t="str">
        <f>"2320"</f>
        <v>2320</v>
      </c>
      <c r="F2040" s="1" t="s">
        <v>321</v>
      </c>
      <c r="G2040" s="1" t="s">
        <v>322</v>
      </c>
      <c r="H2040" s="1" t="s">
        <v>15</v>
      </c>
      <c r="I2040" s="3" t="str">
        <f>"1"</f>
        <v>1</v>
      </c>
      <c r="J2040" s="3">
        <v>28983.58</v>
      </c>
      <c r="K2040" s="2">
        <v>45867</v>
      </c>
      <c r="L2040" s="2">
        <v>45867</v>
      </c>
      <c r="M2040" s="1" t="s">
        <v>5896</v>
      </c>
      <c r="N2040" s="1" t="s">
        <v>5895</v>
      </c>
    </row>
    <row r="2041" spans="1:14" x14ac:dyDescent="0.35">
      <c r="A2041" s="1" t="s">
        <v>4321</v>
      </c>
      <c r="B2041" s="3" t="s">
        <v>3183</v>
      </c>
      <c r="C2041" s="1" t="s">
        <v>3435</v>
      </c>
      <c r="D2041" s="1" t="s">
        <v>5897</v>
      </c>
      <c r="E2041" s="1" t="str">
        <f>"2320"</f>
        <v>2320</v>
      </c>
      <c r="F2041" s="1" t="s">
        <v>321</v>
      </c>
      <c r="G2041" s="1" t="s">
        <v>322</v>
      </c>
      <c r="H2041" s="1" t="s">
        <v>15</v>
      </c>
      <c r="I2041" s="3" t="str">
        <f>"1"</f>
        <v>1</v>
      </c>
      <c r="J2041" s="3">
        <v>28983.58</v>
      </c>
      <c r="K2041" s="2">
        <v>45867</v>
      </c>
      <c r="L2041" s="2">
        <v>45867</v>
      </c>
      <c r="M2041" s="1" t="s">
        <v>5896</v>
      </c>
      <c r="N2041" s="1" t="s">
        <v>5895</v>
      </c>
    </row>
    <row r="2042" spans="1:14" x14ac:dyDescent="0.35">
      <c r="A2042" s="1" t="s">
        <v>4321</v>
      </c>
      <c r="B2042" s="3" t="s">
        <v>601</v>
      </c>
      <c r="C2042" s="1" t="s">
        <v>667</v>
      </c>
      <c r="D2042" s="1" t="s">
        <v>5894</v>
      </c>
      <c r="E2042" s="1" t="str">
        <f>"4240"</f>
        <v>4240</v>
      </c>
      <c r="F2042" s="1" t="s">
        <v>2689</v>
      </c>
      <c r="G2042" s="1" t="s">
        <v>2690</v>
      </c>
      <c r="H2042" s="1" t="s">
        <v>15</v>
      </c>
      <c r="I2042" s="3" t="str">
        <f>"25"</f>
        <v>25</v>
      </c>
      <c r="J2042" s="3">
        <v>81.99</v>
      </c>
      <c r="K2042" s="2">
        <v>45866</v>
      </c>
      <c r="L2042" s="2">
        <v>45867</v>
      </c>
      <c r="M2042" s="1" t="s">
        <v>5893</v>
      </c>
      <c r="N2042" s="1" t="s">
        <v>4343</v>
      </c>
    </row>
    <row r="2043" spans="1:14" x14ac:dyDescent="0.35">
      <c r="A2043" s="1" t="s">
        <v>4321</v>
      </c>
      <c r="B2043" s="3" t="s">
        <v>2720</v>
      </c>
      <c r="C2043" s="1" t="s">
        <v>2931</v>
      </c>
      <c r="D2043" s="1" t="s">
        <v>5892</v>
      </c>
      <c r="E2043" s="1" t="str">
        <f>"4240"</f>
        <v>4240</v>
      </c>
      <c r="F2043" s="1" t="s">
        <v>2689</v>
      </c>
      <c r="G2043" s="1" t="s">
        <v>2690</v>
      </c>
      <c r="H2043" s="1" t="s">
        <v>15</v>
      </c>
      <c r="I2043" s="3" t="str">
        <f>"25"</f>
        <v>25</v>
      </c>
      <c r="J2043" s="3">
        <v>81.99</v>
      </c>
      <c r="K2043" s="2">
        <v>45866</v>
      </c>
      <c r="L2043" s="2">
        <v>45867</v>
      </c>
      <c r="M2043" s="1" t="s">
        <v>5891</v>
      </c>
      <c r="N2043" s="1" t="s">
        <v>4343</v>
      </c>
    </row>
    <row r="2044" spans="1:14" x14ac:dyDescent="0.35">
      <c r="A2044" s="1" t="s">
        <v>4321</v>
      </c>
      <c r="B2044" s="3" t="s">
        <v>4087</v>
      </c>
      <c r="C2044" s="1" t="s">
        <v>4121</v>
      </c>
      <c r="D2044" s="1" t="s">
        <v>5890</v>
      </c>
      <c r="E2044" s="1" t="str">
        <f>"7510"</f>
        <v>7510</v>
      </c>
      <c r="F2044" s="1" t="str">
        <f>"013166213"</f>
        <v>013166213</v>
      </c>
      <c r="G2044" s="1" t="s">
        <v>5889</v>
      </c>
      <c r="H2044" s="1" t="s">
        <v>15</v>
      </c>
      <c r="I2044" s="3" t="str">
        <f>"10"</f>
        <v>10</v>
      </c>
      <c r="J2044" s="3">
        <v>4.25</v>
      </c>
      <c r="K2044" s="2">
        <v>45864</v>
      </c>
      <c r="L2044" s="2">
        <v>45867</v>
      </c>
      <c r="M2044" s="1" t="s">
        <v>5888</v>
      </c>
      <c r="N2044" s="1" t="s">
        <v>4343</v>
      </c>
    </row>
    <row r="2045" spans="1:14" x14ac:dyDescent="0.35">
      <c r="A2045" s="1" t="s">
        <v>4321</v>
      </c>
      <c r="B2045" s="3" t="s">
        <v>2248</v>
      </c>
      <c r="C2045" s="1" t="s">
        <v>2357</v>
      </c>
      <c r="D2045" s="1" t="s">
        <v>5887</v>
      </c>
      <c r="E2045" s="1" t="str">
        <f>"4240"</f>
        <v>4240</v>
      </c>
      <c r="F2045" s="1" t="s">
        <v>2689</v>
      </c>
      <c r="G2045" s="1" t="s">
        <v>2690</v>
      </c>
      <c r="H2045" s="1" t="s">
        <v>15</v>
      </c>
      <c r="I2045" s="3" t="str">
        <f>"15"</f>
        <v>15</v>
      </c>
      <c r="J2045" s="3">
        <v>81.99</v>
      </c>
      <c r="K2045" s="2">
        <v>45864</v>
      </c>
      <c r="L2045" s="2">
        <v>45867</v>
      </c>
      <c r="M2045" s="1" t="s">
        <v>5886</v>
      </c>
      <c r="N2045" s="1" t="s">
        <v>5885</v>
      </c>
    </row>
    <row r="2046" spans="1:14" x14ac:dyDescent="0.35">
      <c r="A2046" s="1" t="s">
        <v>4321</v>
      </c>
      <c r="B2046" s="3" t="s">
        <v>3513</v>
      </c>
      <c r="C2046" s="1" t="s">
        <v>5813</v>
      </c>
      <c r="D2046" s="1" t="s">
        <v>5884</v>
      </c>
      <c r="E2046" s="1" t="str">
        <f>"8415"</f>
        <v>8415</v>
      </c>
      <c r="F2046" s="1" t="str">
        <f>"015386308"</f>
        <v>015386308</v>
      </c>
      <c r="G2046" s="1" t="s">
        <v>973</v>
      </c>
      <c r="H2046" s="1" t="s">
        <v>15</v>
      </c>
      <c r="I2046" s="3" t="str">
        <f>"1"</f>
        <v>1</v>
      </c>
      <c r="J2046" s="3">
        <v>143.46</v>
      </c>
      <c r="K2046" s="2">
        <v>45863</v>
      </c>
      <c r="L2046" s="2">
        <v>45867</v>
      </c>
      <c r="M2046" s="1" t="s">
        <v>5883</v>
      </c>
      <c r="N2046" s="1" t="s">
        <v>5882</v>
      </c>
    </row>
    <row r="2047" spans="1:14" x14ac:dyDescent="0.35">
      <c r="A2047" s="1" t="s">
        <v>4321</v>
      </c>
      <c r="B2047" s="3" t="s">
        <v>806</v>
      </c>
      <c r="C2047" s="1" t="s">
        <v>870</v>
      </c>
      <c r="D2047" s="1" t="s">
        <v>5881</v>
      </c>
      <c r="E2047" s="1" t="str">
        <f>"5180"</f>
        <v>5180</v>
      </c>
      <c r="F2047" s="1" t="s">
        <v>1177</v>
      </c>
      <c r="G2047" s="1" t="s">
        <v>1178</v>
      </c>
      <c r="H2047" s="1" t="s">
        <v>15</v>
      </c>
      <c r="I2047" s="3" t="str">
        <f>"2"</f>
        <v>2</v>
      </c>
      <c r="J2047" s="3">
        <v>3969.81</v>
      </c>
      <c r="K2047" s="2">
        <v>45859</v>
      </c>
      <c r="L2047" s="2">
        <v>45867</v>
      </c>
      <c r="M2047" s="1" t="s">
        <v>5880</v>
      </c>
      <c r="N2047" s="1" t="s">
        <v>5879</v>
      </c>
    </row>
    <row r="2048" spans="1:14" x14ac:dyDescent="0.35">
      <c r="A2048" s="1" t="s">
        <v>4321</v>
      </c>
      <c r="B2048" s="3" t="s">
        <v>1445</v>
      </c>
      <c r="C2048" s="1" t="s">
        <v>1629</v>
      </c>
      <c r="D2048" s="1" t="s">
        <v>5878</v>
      </c>
      <c r="E2048" s="1" t="str">
        <f>"4240"</f>
        <v>4240</v>
      </c>
      <c r="F2048" s="1" t="str">
        <f>"015439618"</f>
        <v>015439618</v>
      </c>
      <c r="G2048" s="1" t="s">
        <v>256</v>
      </c>
      <c r="H2048" s="1" t="s">
        <v>15</v>
      </c>
      <c r="I2048" s="3" t="str">
        <f>"1000"</f>
        <v>1000</v>
      </c>
      <c r="J2048" s="3">
        <v>28.63</v>
      </c>
      <c r="K2048" s="2">
        <v>45855</v>
      </c>
      <c r="L2048" s="2">
        <v>45867</v>
      </c>
      <c r="M2048" s="1" t="s">
        <v>5877</v>
      </c>
      <c r="N2048" s="1" t="s">
        <v>5876</v>
      </c>
    </row>
    <row r="2049" spans="1:14" x14ac:dyDescent="0.35">
      <c r="A2049" s="1" t="s">
        <v>4321</v>
      </c>
      <c r="B2049" s="3" t="s">
        <v>2444</v>
      </c>
      <c r="C2049" s="1" t="s">
        <v>2445</v>
      </c>
      <c r="D2049" s="1" t="s">
        <v>5875</v>
      </c>
      <c r="E2049" s="1" t="str">
        <f>"5855"</f>
        <v>5855</v>
      </c>
      <c r="F2049" s="1" t="s">
        <v>2918</v>
      </c>
      <c r="G2049" s="1" t="s">
        <v>2919</v>
      </c>
      <c r="H2049" s="1" t="s">
        <v>15</v>
      </c>
      <c r="I2049" s="3" t="str">
        <f>"4"</f>
        <v>4</v>
      </c>
      <c r="J2049" s="3" t="str">
        <f>"8000"</f>
        <v>8000</v>
      </c>
      <c r="K2049" s="2">
        <v>45853</v>
      </c>
      <c r="L2049" s="2">
        <v>45867</v>
      </c>
      <c r="M2049" s="1" t="s">
        <v>5874</v>
      </c>
      <c r="N2049" s="1" t="s">
        <v>5873</v>
      </c>
    </row>
    <row r="2050" spans="1:14" x14ac:dyDescent="0.35">
      <c r="A2050" s="1" t="s">
        <v>4321</v>
      </c>
      <c r="B2050" s="3" t="s">
        <v>2145</v>
      </c>
      <c r="C2050" s="1" t="s">
        <v>2153</v>
      </c>
      <c r="D2050" s="1" t="s">
        <v>5872</v>
      </c>
      <c r="E2050" s="1" t="str">
        <f>"2320"</f>
        <v>2320</v>
      </c>
      <c r="F2050" s="1" t="str">
        <f>"011268357"</f>
        <v>011268357</v>
      </c>
      <c r="G2050" s="1" t="s">
        <v>1448</v>
      </c>
      <c r="H2050" s="1" t="s">
        <v>15</v>
      </c>
      <c r="I2050" s="3" t="str">
        <f>"1"</f>
        <v>1</v>
      </c>
      <c r="J2050" s="3" t="str">
        <f>"23795"</f>
        <v>23795</v>
      </c>
      <c r="K2050" s="2">
        <v>45818</v>
      </c>
      <c r="L2050" s="2">
        <v>45867</v>
      </c>
      <c r="M2050" s="1" t="s">
        <v>5871</v>
      </c>
      <c r="N2050" s="1" t="s">
        <v>5870</v>
      </c>
    </row>
    <row r="2051" spans="1:14" x14ac:dyDescent="0.35">
      <c r="A2051" s="1" t="s">
        <v>4321</v>
      </c>
      <c r="B2051" s="3" t="s">
        <v>2145</v>
      </c>
      <c r="C2051" s="1" t="s">
        <v>2153</v>
      </c>
      <c r="D2051" s="1" t="s">
        <v>5869</v>
      </c>
      <c r="E2051" s="1" t="str">
        <f>"2320"</f>
        <v>2320</v>
      </c>
      <c r="F2051" s="1" t="str">
        <f>"011274800"</f>
        <v>011274800</v>
      </c>
      <c r="G2051" s="1" t="s">
        <v>373</v>
      </c>
      <c r="H2051" s="1" t="s">
        <v>15</v>
      </c>
      <c r="I2051" s="3" t="str">
        <f>"1"</f>
        <v>1</v>
      </c>
      <c r="J2051" s="3" t="str">
        <f>"7895"</f>
        <v>7895</v>
      </c>
      <c r="K2051" s="2">
        <v>45815</v>
      </c>
      <c r="L2051" s="2">
        <v>45867</v>
      </c>
      <c r="M2051" s="1" t="s">
        <v>5868</v>
      </c>
      <c r="N2051" s="1" t="s">
        <v>5867</v>
      </c>
    </row>
    <row r="2052" spans="1:14" x14ac:dyDescent="0.35">
      <c r="A2052" s="1" t="s">
        <v>4321</v>
      </c>
      <c r="B2052" s="3" t="s">
        <v>2145</v>
      </c>
      <c r="C2052" s="1" t="s">
        <v>2153</v>
      </c>
      <c r="D2052" s="1" t="s">
        <v>5866</v>
      </c>
      <c r="E2052" s="1" t="str">
        <f>"2320"</f>
        <v>2320</v>
      </c>
      <c r="F2052" s="1" t="str">
        <f>"009651039"</f>
        <v>009651039</v>
      </c>
      <c r="G2052" s="1" t="s">
        <v>373</v>
      </c>
      <c r="H2052" s="1" t="s">
        <v>15</v>
      </c>
      <c r="I2052" s="3" t="str">
        <f>"1"</f>
        <v>1</v>
      </c>
      <c r="J2052" s="3" t="str">
        <f>"3123"</f>
        <v>3123</v>
      </c>
      <c r="K2052" s="2">
        <v>45815</v>
      </c>
      <c r="L2052" s="2">
        <v>45867</v>
      </c>
      <c r="M2052" s="1" t="s">
        <v>5865</v>
      </c>
      <c r="N2052" s="1" t="s">
        <v>5864</v>
      </c>
    </row>
    <row r="2053" spans="1:14" x14ac:dyDescent="0.35">
      <c r="A2053" s="1" t="s">
        <v>4321</v>
      </c>
      <c r="B2053" s="3" t="s">
        <v>1857</v>
      </c>
      <c r="C2053" s="1" t="s">
        <v>5863</v>
      </c>
      <c r="D2053" s="1" t="s">
        <v>5862</v>
      </c>
      <c r="E2053" s="1" t="str">
        <f>"6230"</f>
        <v>6230</v>
      </c>
      <c r="F2053" s="1" t="str">
        <f>"014118535"</f>
        <v>014118535</v>
      </c>
      <c r="G2053" s="1" t="s">
        <v>5861</v>
      </c>
      <c r="H2053" s="1" t="s">
        <v>15</v>
      </c>
      <c r="I2053" s="3" t="str">
        <f>"1"</f>
        <v>1</v>
      </c>
      <c r="J2053" s="3">
        <v>136.31</v>
      </c>
      <c r="K2053" s="2">
        <v>45866</v>
      </c>
      <c r="L2053" s="2">
        <v>45866</v>
      </c>
      <c r="M2053" s="1" t="s">
        <v>5860</v>
      </c>
    </row>
    <row r="2054" spans="1:14" x14ac:dyDescent="0.35">
      <c r="A2054" s="1" t="s">
        <v>4321</v>
      </c>
      <c r="B2054" s="3" t="s">
        <v>601</v>
      </c>
      <c r="C2054" s="1" t="s">
        <v>5103</v>
      </c>
      <c r="D2054" s="1" t="s">
        <v>5859</v>
      </c>
      <c r="E2054" s="1" t="str">
        <f>"1240"</f>
        <v>1240</v>
      </c>
      <c r="F2054" s="1" t="str">
        <f>"014925264"</f>
        <v>014925264</v>
      </c>
      <c r="G2054" s="1" t="s">
        <v>5858</v>
      </c>
      <c r="H2054" s="1" t="s">
        <v>15</v>
      </c>
      <c r="I2054" s="3" t="str">
        <f>"15"</f>
        <v>15</v>
      </c>
      <c r="J2054" s="3">
        <v>706.4</v>
      </c>
      <c r="K2054" s="2">
        <v>45865</v>
      </c>
      <c r="L2054" s="2">
        <v>45866</v>
      </c>
      <c r="M2054" s="1" t="s">
        <v>5857</v>
      </c>
      <c r="N2054" s="1" t="s">
        <v>4343</v>
      </c>
    </row>
    <row r="2055" spans="1:14" x14ac:dyDescent="0.35">
      <c r="A2055" s="1" t="s">
        <v>4321</v>
      </c>
      <c r="B2055" s="3" t="s">
        <v>2494</v>
      </c>
      <c r="C2055" s="1" t="s">
        <v>5856</v>
      </c>
      <c r="D2055" s="1" t="s">
        <v>5855</v>
      </c>
      <c r="E2055" s="1" t="str">
        <f>"2310"</f>
        <v>2310</v>
      </c>
      <c r="F2055" s="1" t="s">
        <v>5555</v>
      </c>
      <c r="G2055" s="1" t="s">
        <v>5554</v>
      </c>
      <c r="H2055" s="1" t="s">
        <v>15</v>
      </c>
      <c r="I2055" s="3" t="str">
        <f>"1"</f>
        <v>1</v>
      </c>
      <c r="J2055" s="3" t="str">
        <f>"15000"</f>
        <v>15000</v>
      </c>
      <c r="K2055" s="2">
        <v>45865</v>
      </c>
      <c r="L2055" s="2">
        <v>45866</v>
      </c>
      <c r="M2055" s="1" t="s">
        <v>5854</v>
      </c>
      <c r="N2055" s="1" t="s">
        <v>4343</v>
      </c>
    </row>
    <row r="2056" spans="1:14" x14ac:dyDescent="0.35">
      <c r="A2056" s="1" t="s">
        <v>4321</v>
      </c>
      <c r="B2056" s="3" t="s">
        <v>1857</v>
      </c>
      <c r="C2056" s="1" t="s">
        <v>1869</v>
      </c>
      <c r="D2056" s="1" t="s">
        <v>5853</v>
      </c>
      <c r="E2056" s="1" t="str">
        <f>"6730"</f>
        <v>6730</v>
      </c>
      <c r="F2056" s="1" t="str">
        <f>"015190985"</f>
        <v>015190985</v>
      </c>
      <c r="G2056" s="1" t="s">
        <v>5852</v>
      </c>
      <c r="H2056" s="1" t="s">
        <v>15</v>
      </c>
      <c r="I2056" s="3" t="str">
        <f>"3"</f>
        <v>3</v>
      </c>
      <c r="J2056" s="3" t="str">
        <f>"19582"</f>
        <v>19582</v>
      </c>
      <c r="K2056" s="2">
        <v>45864</v>
      </c>
      <c r="L2056" s="2">
        <v>45866</v>
      </c>
      <c r="M2056" s="1" t="s">
        <v>5851</v>
      </c>
      <c r="N2056" s="1" t="s">
        <v>4343</v>
      </c>
    </row>
    <row r="2057" spans="1:14" x14ac:dyDescent="0.35">
      <c r="A2057" s="1" t="s">
        <v>4321</v>
      </c>
      <c r="B2057" s="3" t="s">
        <v>93</v>
      </c>
      <c r="C2057" s="1" t="s">
        <v>267</v>
      </c>
      <c r="D2057" s="1" t="s">
        <v>5850</v>
      </c>
      <c r="E2057" s="1" t="str">
        <f>"2320"</f>
        <v>2320</v>
      </c>
      <c r="F2057" s="1" t="str">
        <f>"014474938"</f>
        <v>014474938</v>
      </c>
      <c r="G2057" s="1" t="s">
        <v>117</v>
      </c>
      <c r="H2057" s="1" t="s">
        <v>15</v>
      </c>
      <c r="I2057" s="3" t="str">
        <f>"1"</f>
        <v>1</v>
      </c>
      <c r="J2057" s="3" t="str">
        <f>"230363"</f>
        <v>230363</v>
      </c>
      <c r="K2057" s="2">
        <v>45864</v>
      </c>
      <c r="L2057" s="2">
        <v>45866</v>
      </c>
      <c r="M2057" s="1" t="s">
        <v>5849</v>
      </c>
      <c r="N2057" s="1" t="s">
        <v>4387</v>
      </c>
    </row>
    <row r="2058" spans="1:14" x14ac:dyDescent="0.35">
      <c r="A2058" s="1" t="s">
        <v>4321</v>
      </c>
      <c r="B2058" s="3" t="s">
        <v>3183</v>
      </c>
      <c r="C2058" s="1" t="s">
        <v>3487</v>
      </c>
      <c r="D2058" s="1" t="s">
        <v>5848</v>
      </c>
      <c r="E2058" s="1" t="str">
        <f>"2320"</f>
        <v>2320</v>
      </c>
      <c r="F2058" s="1" t="s">
        <v>274</v>
      </c>
      <c r="G2058" s="1" t="s">
        <v>275</v>
      </c>
      <c r="H2058" s="1" t="s">
        <v>15</v>
      </c>
      <c r="I2058" s="3" t="str">
        <f>"1"</f>
        <v>1</v>
      </c>
      <c r="J2058" s="3" t="str">
        <f>"30000"</f>
        <v>30000</v>
      </c>
      <c r="K2058" s="2">
        <v>45864</v>
      </c>
      <c r="L2058" s="2">
        <v>45866</v>
      </c>
      <c r="M2058" s="1" t="s">
        <v>5847</v>
      </c>
    </row>
    <row r="2059" spans="1:14" x14ac:dyDescent="0.35">
      <c r="A2059" s="1" t="s">
        <v>4321</v>
      </c>
      <c r="B2059" s="3" t="s">
        <v>2145</v>
      </c>
      <c r="C2059" s="1" t="s">
        <v>2153</v>
      </c>
      <c r="D2059" s="1" t="s">
        <v>5846</v>
      </c>
      <c r="E2059" s="1" t="str">
        <f>"3805"</f>
        <v>3805</v>
      </c>
      <c r="F2059" s="1" t="str">
        <f>"010719753"</f>
        <v>010719753</v>
      </c>
      <c r="G2059" s="1" t="s">
        <v>587</v>
      </c>
      <c r="H2059" s="1" t="s">
        <v>15</v>
      </c>
      <c r="I2059" s="3" t="str">
        <f>"1"</f>
        <v>1</v>
      </c>
      <c r="J2059" s="3" t="str">
        <f>"112450"</f>
        <v>112450</v>
      </c>
      <c r="K2059" s="2">
        <v>45838</v>
      </c>
      <c r="L2059" s="2">
        <v>45866</v>
      </c>
      <c r="M2059" s="1" t="s">
        <v>5845</v>
      </c>
      <c r="N2059" s="1" t="s">
        <v>5844</v>
      </c>
    </row>
    <row r="2060" spans="1:14" x14ac:dyDescent="0.35">
      <c r="A2060" s="1" t="s">
        <v>4321</v>
      </c>
      <c r="B2060" s="3" t="s">
        <v>2987</v>
      </c>
      <c r="C2060" s="1" t="s">
        <v>3052</v>
      </c>
      <c r="D2060" s="1" t="s">
        <v>5843</v>
      </c>
      <c r="E2060" s="1" t="str">
        <f>"6515"</f>
        <v>6515</v>
      </c>
      <c r="F2060" s="1" t="str">
        <f>"015217976"</f>
        <v>015217976</v>
      </c>
      <c r="G2060" s="1" t="s">
        <v>2343</v>
      </c>
      <c r="H2060" s="1" t="s">
        <v>15</v>
      </c>
      <c r="I2060" s="3" t="str">
        <f>"56"</f>
        <v>56</v>
      </c>
      <c r="J2060" s="3">
        <v>40.340000000000003</v>
      </c>
      <c r="K2060" s="2">
        <v>45813</v>
      </c>
      <c r="L2060" s="2">
        <v>45866</v>
      </c>
      <c r="M2060" s="1" t="s">
        <v>5842</v>
      </c>
      <c r="N2060" s="1" t="s">
        <v>5841</v>
      </c>
    </row>
    <row r="2061" spans="1:14" x14ac:dyDescent="0.35">
      <c r="A2061" s="1" t="s">
        <v>4321</v>
      </c>
      <c r="B2061" s="3" t="s">
        <v>2248</v>
      </c>
      <c r="C2061" s="1" t="s">
        <v>2357</v>
      </c>
      <c r="D2061" s="1" t="s">
        <v>5840</v>
      </c>
      <c r="E2061" s="1" t="str">
        <f>"5855"</f>
        <v>5855</v>
      </c>
      <c r="F2061" s="1" t="str">
        <f>"015264703"</f>
        <v>015264703</v>
      </c>
      <c r="G2061" s="1" t="s">
        <v>1953</v>
      </c>
      <c r="H2061" s="1" t="s">
        <v>15</v>
      </c>
      <c r="I2061" s="3" t="str">
        <f>"1"</f>
        <v>1</v>
      </c>
      <c r="J2061" s="3">
        <v>10100.040000000001</v>
      </c>
      <c r="K2061" s="2">
        <v>45864</v>
      </c>
      <c r="L2061" s="2">
        <v>45865</v>
      </c>
      <c r="M2061" s="1" t="s">
        <v>5838</v>
      </c>
      <c r="N2061" s="1" t="s">
        <v>4343</v>
      </c>
    </row>
    <row r="2062" spans="1:14" x14ac:dyDescent="0.35">
      <c r="A2062" s="1" t="s">
        <v>4321</v>
      </c>
      <c r="B2062" s="3" t="s">
        <v>2248</v>
      </c>
      <c r="C2062" s="1" t="s">
        <v>2357</v>
      </c>
      <c r="D2062" s="1" t="s">
        <v>5839</v>
      </c>
      <c r="E2062" s="1" t="str">
        <f>"5855"</f>
        <v>5855</v>
      </c>
      <c r="F2062" s="1" t="str">
        <f>"015264703"</f>
        <v>015264703</v>
      </c>
      <c r="G2062" s="1" t="s">
        <v>1953</v>
      </c>
      <c r="H2062" s="1" t="s">
        <v>15</v>
      </c>
      <c r="I2062" s="3" t="str">
        <f>"1"</f>
        <v>1</v>
      </c>
      <c r="J2062" s="3">
        <v>10100.040000000001</v>
      </c>
      <c r="K2062" s="2">
        <v>45864</v>
      </c>
      <c r="L2062" s="2">
        <v>45865</v>
      </c>
      <c r="M2062" s="1" t="s">
        <v>5838</v>
      </c>
      <c r="N2062" s="1" t="s">
        <v>4343</v>
      </c>
    </row>
    <row r="2063" spans="1:14" x14ac:dyDescent="0.35">
      <c r="A2063" s="1" t="s">
        <v>4321</v>
      </c>
      <c r="B2063" s="3" t="s">
        <v>2638</v>
      </c>
      <c r="C2063" s="1" t="s">
        <v>2716</v>
      </c>
      <c r="D2063" s="1" t="s">
        <v>5837</v>
      </c>
      <c r="E2063" s="1" t="str">
        <f>"7830"</f>
        <v>7830</v>
      </c>
      <c r="F2063" s="1" t="s">
        <v>182</v>
      </c>
      <c r="G2063" s="1" t="s">
        <v>183</v>
      </c>
      <c r="H2063" s="1" t="s">
        <v>15</v>
      </c>
      <c r="I2063" s="3" t="str">
        <f>"1"</f>
        <v>1</v>
      </c>
      <c r="J2063" s="3" t="str">
        <f>"1600"</f>
        <v>1600</v>
      </c>
      <c r="K2063" s="2">
        <v>45864</v>
      </c>
      <c r="L2063" s="2">
        <v>45865</v>
      </c>
      <c r="M2063" s="1" t="s">
        <v>5836</v>
      </c>
      <c r="N2063" s="1" t="s">
        <v>4343</v>
      </c>
    </row>
    <row r="2064" spans="1:14" x14ac:dyDescent="0.35">
      <c r="A2064" s="1" t="s">
        <v>4321</v>
      </c>
      <c r="B2064" s="3" t="s">
        <v>2248</v>
      </c>
      <c r="C2064" s="1" t="s">
        <v>2265</v>
      </c>
      <c r="D2064" s="1" t="s">
        <v>5835</v>
      </c>
      <c r="E2064" s="1" t="str">
        <f>"5855"</f>
        <v>5855</v>
      </c>
      <c r="F2064" s="1" t="str">
        <f>"016800712"</f>
        <v>016800712</v>
      </c>
      <c r="G2064" s="1" t="s">
        <v>2467</v>
      </c>
      <c r="H2064" s="1" t="s">
        <v>15</v>
      </c>
      <c r="I2064" s="3" t="str">
        <f>"5"</f>
        <v>5</v>
      </c>
      <c r="J2064" s="3" t="str">
        <f>"3000"</f>
        <v>3000</v>
      </c>
      <c r="K2064" s="2">
        <v>45859</v>
      </c>
      <c r="L2064" s="2">
        <v>45865</v>
      </c>
      <c r="M2064" s="1" t="s">
        <v>5834</v>
      </c>
      <c r="N2064" s="1" t="s">
        <v>4343</v>
      </c>
    </row>
    <row r="2065" spans="1:14" x14ac:dyDescent="0.35">
      <c r="A2065" s="1" t="s">
        <v>4321</v>
      </c>
      <c r="B2065" s="3" t="s">
        <v>691</v>
      </c>
      <c r="C2065" s="1" t="s">
        <v>707</v>
      </c>
      <c r="D2065" s="1" t="s">
        <v>5833</v>
      </c>
      <c r="E2065" s="1" t="str">
        <f>"1240"</f>
        <v>1240</v>
      </c>
      <c r="F2065" s="1" t="s">
        <v>1461</v>
      </c>
      <c r="G2065" s="1" t="s">
        <v>1462</v>
      </c>
      <c r="H2065" s="1" t="s">
        <v>15</v>
      </c>
      <c r="I2065" s="3" t="str">
        <f>"23"</f>
        <v>23</v>
      </c>
      <c r="J2065" s="3" t="str">
        <f>"400"</f>
        <v>400</v>
      </c>
      <c r="K2065" s="2">
        <v>45859</v>
      </c>
      <c r="L2065" s="2">
        <v>45865</v>
      </c>
      <c r="M2065" s="1" t="s">
        <v>5832</v>
      </c>
      <c r="N2065" s="1" t="s">
        <v>4343</v>
      </c>
    </row>
    <row r="2066" spans="1:14" x14ac:dyDescent="0.35">
      <c r="A2066" s="1" t="s">
        <v>4321</v>
      </c>
      <c r="B2066" s="3" t="s">
        <v>806</v>
      </c>
      <c r="C2066" s="1" t="s">
        <v>5831</v>
      </c>
      <c r="D2066" s="1" t="s">
        <v>5830</v>
      </c>
      <c r="E2066" s="1" t="str">
        <f>"5855"</f>
        <v>5855</v>
      </c>
      <c r="F2066" s="1" t="str">
        <f>"015804632"</f>
        <v>015804632</v>
      </c>
      <c r="G2066" s="1" t="s">
        <v>2467</v>
      </c>
      <c r="H2066" s="1" t="s">
        <v>15</v>
      </c>
      <c r="I2066" s="3" t="str">
        <f>"1"</f>
        <v>1</v>
      </c>
      <c r="J2066" s="3" t="str">
        <f>"250"</f>
        <v>250</v>
      </c>
      <c r="K2066" s="2">
        <v>45856</v>
      </c>
      <c r="L2066" s="2">
        <v>45865</v>
      </c>
      <c r="M2066" s="1" t="s">
        <v>5829</v>
      </c>
      <c r="N2066" s="1" t="s">
        <v>4343</v>
      </c>
    </row>
    <row r="2067" spans="1:14" x14ac:dyDescent="0.35">
      <c r="A2067" s="1" t="s">
        <v>4321</v>
      </c>
      <c r="B2067" s="3" t="s">
        <v>93</v>
      </c>
      <c r="C2067" s="1" t="s">
        <v>109</v>
      </c>
      <c r="D2067" s="1" t="s">
        <v>5828</v>
      </c>
      <c r="E2067" s="1" t="str">
        <f>"5895"</f>
        <v>5895</v>
      </c>
      <c r="F2067" s="1" t="str">
        <f>"015022413"</f>
        <v>015022413</v>
      </c>
      <c r="G2067" s="1" t="s">
        <v>5827</v>
      </c>
      <c r="H2067" s="1" t="s">
        <v>15</v>
      </c>
      <c r="I2067" s="3" t="str">
        <f>"1"</f>
        <v>1</v>
      </c>
      <c r="J2067" s="3" t="str">
        <f>"129000"</f>
        <v>129000</v>
      </c>
      <c r="K2067" s="2">
        <v>45850</v>
      </c>
      <c r="L2067" s="2">
        <v>45865</v>
      </c>
      <c r="M2067" s="1" t="s">
        <v>5826</v>
      </c>
      <c r="N2067" s="1" t="s">
        <v>4343</v>
      </c>
    </row>
    <row r="2068" spans="1:14" x14ac:dyDescent="0.35">
      <c r="A2068" s="1" t="s">
        <v>4321</v>
      </c>
      <c r="B2068" s="3" t="s">
        <v>3513</v>
      </c>
      <c r="C2068" s="1" t="s">
        <v>3874</v>
      </c>
      <c r="D2068" s="1" t="s">
        <v>5825</v>
      </c>
      <c r="E2068" s="1" t="str">
        <f>"2320"</f>
        <v>2320</v>
      </c>
      <c r="F2068" s="1" t="s">
        <v>321</v>
      </c>
      <c r="G2068" s="1" t="s">
        <v>322</v>
      </c>
      <c r="H2068" s="1" t="s">
        <v>15</v>
      </c>
      <c r="I2068" s="3" t="str">
        <f>"1"</f>
        <v>1</v>
      </c>
      <c r="J2068" s="3" t="str">
        <f>"9938"</f>
        <v>9938</v>
      </c>
      <c r="K2068" s="2">
        <v>45766</v>
      </c>
      <c r="L2068" s="2">
        <v>45865</v>
      </c>
      <c r="M2068" s="1" t="s">
        <v>4336</v>
      </c>
      <c r="N2068" s="1" t="s">
        <v>5824</v>
      </c>
    </row>
    <row r="2069" spans="1:14" x14ac:dyDescent="0.35">
      <c r="A2069" s="1" t="s">
        <v>4321</v>
      </c>
      <c r="B2069" s="3" t="s">
        <v>3513</v>
      </c>
      <c r="C2069" s="1" t="s">
        <v>3874</v>
      </c>
      <c r="D2069" s="1" t="s">
        <v>5823</v>
      </c>
      <c r="E2069" s="1" t="str">
        <f>"2320"</f>
        <v>2320</v>
      </c>
      <c r="F2069" s="1" t="s">
        <v>321</v>
      </c>
      <c r="G2069" s="1" t="s">
        <v>322</v>
      </c>
      <c r="H2069" s="1" t="s">
        <v>15</v>
      </c>
      <c r="I2069" s="3" t="str">
        <f>"1"</f>
        <v>1</v>
      </c>
      <c r="J2069" s="3">
        <v>28983.58</v>
      </c>
      <c r="K2069" s="2">
        <v>45766</v>
      </c>
      <c r="L2069" s="2">
        <v>45865</v>
      </c>
      <c r="M2069" s="1" t="s">
        <v>4336</v>
      </c>
      <c r="N2069" s="1" t="s">
        <v>5822</v>
      </c>
    </row>
    <row r="2070" spans="1:14" x14ac:dyDescent="0.35">
      <c r="A2070" s="1" t="s">
        <v>4321</v>
      </c>
      <c r="B2070" s="3" t="s">
        <v>3513</v>
      </c>
      <c r="C2070" s="1" t="s">
        <v>3874</v>
      </c>
      <c r="D2070" s="1" t="s">
        <v>5821</v>
      </c>
      <c r="E2070" s="1" t="str">
        <f>"2320"</f>
        <v>2320</v>
      </c>
      <c r="F2070" s="1" t="s">
        <v>321</v>
      </c>
      <c r="G2070" s="1" t="s">
        <v>322</v>
      </c>
      <c r="H2070" s="1" t="s">
        <v>15</v>
      </c>
      <c r="I2070" s="3" t="str">
        <f>"1"</f>
        <v>1</v>
      </c>
      <c r="J2070" s="3">
        <v>55605.5</v>
      </c>
      <c r="K2070" s="2">
        <v>45766</v>
      </c>
      <c r="L2070" s="2">
        <v>45865</v>
      </c>
      <c r="M2070" s="1" t="s">
        <v>4336</v>
      </c>
      <c r="N2070" s="1" t="s">
        <v>5820</v>
      </c>
    </row>
    <row r="2071" spans="1:14" x14ac:dyDescent="0.35">
      <c r="A2071" s="1" t="s">
        <v>4321</v>
      </c>
      <c r="B2071" s="3" t="s">
        <v>2494</v>
      </c>
      <c r="C2071" s="1" t="s">
        <v>5795</v>
      </c>
      <c r="D2071" s="1" t="s">
        <v>5819</v>
      </c>
      <c r="E2071" s="1" t="str">
        <f>"2320"</f>
        <v>2320</v>
      </c>
      <c r="F2071" s="1" t="s">
        <v>1871</v>
      </c>
      <c r="G2071" s="1" t="s">
        <v>1872</v>
      </c>
      <c r="H2071" s="1" t="s">
        <v>15</v>
      </c>
      <c r="I2071" s="3" t="str">
        <f>"1"</f>
        <v>1</v>
      </c>
      <c r="J2071" s="3">
        <v>20917.099999999999</v>
      </c>
      <c r="K2071" s="2">
        <v>45749</v>
      </c>
      <c r="L2071" s="2">
        <v>45865</v>
      </c>
      <c r="M2071" s="1" t="s">
        <v>5818</v>
      </c>
      <c r="N2071" s="1" t="s">
        <v>5817</v>
      </c>
    </row>
    <row r="2072" spans="1:14" x14ac:dyDescent="0.35">
      <c r="A2072" s="1" t="s">
        <v>4321</v>
      </c>
      <c r="B2072" s="3" t="s">
        <v>93</v>
      </c>
      <c r="C2072" s="1" t="s">
        <v>267</v>
      </c>
      <c r="D2072" s="1" t="s">
        <v>5816</v>
      </c>
      <c r="E2072" s="1" t="str">
        <f>"6515"</f>
        <v>6515</v>
      </c>
      <c r="F2072" s="1" t="str">
        <f>"015727262"</f>
        <v>015727262</v>
      </c>
      <c r="G2072" s="1" t="s">
        <v>5815</v>
      </c>
      <c r="H2072" s="1" t="s">
        <v>58</v>
      </c>
      <c r="I2072" s="3" t="str">
        <f>"2"</f>
        <v>2</v>
      </c>
      <c r="J2072" s="3">
        <v>13809.41</v>
      </c>
      <c r="K2072" s="2">
        <v>45864</v>
      </c>
      <c r="L2072" s="2">
        <v>45864</v>
      </c>
      <c r="M2072" s="1" t="s">
        <v>5814</v>
      </c>
      <c r="N2072" s="1" t="s">
        <v>4343</v>
      </c>
    </row>
    <row r="2073" spans="1:14" x14ac:dyDescent="0.35">
      <c r="A2073" s="1" t="s">
        <v>4321</v>
      </c>
      <c r="B2073" s="3" t="s">
        <v>3513</v>
      </c>
      <c r="C2073" s="1" t="s">
        <v>5813</v>
      </c>
      <c r="D2073" s="1" t="s">
        <v>5812</v>
      </c>
      <c r="E2073" s="1" t="str">
        <f>"5965"</f>
        <v>5965</v>
      </c>
      <c r="F2073" s="1" t="str">
        <f>"016190258"</f>
        <v>016190258</v>
      </c>
      <c r="G2073" s="1" t="s">
        <v>22</v>
      </c>
      <c r="H2073" s="1" t="s">
        <v>15</v>
      </c>
      <c r="I2073" s="3" t="str">
        <f>"7"</f>
        <v>7</v>
      </c>
      <c r="J2073" s="3" t="str">
        <f>"3069"</f>
        <v>3069</v>
      </c>
      <c r="K2073" s="2">
        <v>45863</v>
      </c>
      <c r="L2073" s="2">
        <v>45864</v>
      </c>
      <c r="M2073" s="1" t="s">
        <v>5811</v>
      </c>
      <c r="N2073" s="1" t="s">
        <v>4343</v>
      </c>
    </row>
    <row r="2074" spans="1:14" x14ac:dyDescent="0.35">
      <c r="A2074" s="1" t="s">
        <v>4321</v>
      </c>
      <c r="B2074" s="3" t="s">
        <v>93</v>
      </c>
      <c r="C2074" s="1" t="s">
        <v>267</v>
      </c>
      <c r="D2074" s="1" t="s">
        <v>5810</v>
      </c>
      <c r="E2074" s="1" t="str">
        <f>"2320"</f>
        <v>2320</v>
      </c>
      <c r="F2074" s="1" t="str">
        <f>"014474938"</f>
        <v>014474938</v>
      </c>
      <c r="G2074" s="1" t="s">
        <v>117</v>
      </c>
      <c r="H2074" s="1" t="s">
        <v>15</v>
      </c>
      <c r="I2074" s="3" t="str">
        <f>"1"</f>
        <v>1</v>
      </c>
      <c r="J2074" s="3" t="str">
        <f>"230363"</f>
        <v>230363</v>
      </c>
      <c r="K2074" s="2">
        <v>45863</v>
      </c>
      <c r="L2074" s="2">
        <v>45864</v>
      </c>
      <c r="M2074" s="1" t="s">
        <v>5809</v>
      </c>
      <c r="N2074" s="1" t="s">
        <v>4343</v>
      </c>
    </row>
    <row r="2075" spans="1:14" x14ac:dyDescent="0.35">
      <c r="A2075" s="1" t="s">
        <v>4321</v>
      </c>
      <c r="B2075" s="3" t="s">
        <v>3105</v>
      </c>
      <c r="C2075" s="1" t="s">
        <v>5808</v>
      </c>
      <c r="D2075" s="1" t="s">
        <v>5807</v>
      </c>
      <c r="E2075" s="1" t="str">
        <f>"7025"</f>
        <v>7025</v>
      </c>
      <c r="F2075" s="1" t="s">
        <v>2323</v>
      </c>
      <c r="G2075" s="1" t="s">
        <v>2324</v>
      </c>
      <c r="H2075" s="1" t="s">
        <v>15</v>
      </c>
      <c r="I2075" s="3" t="str">
        <f>"5"</f>
        <v>5</v>
      </c>
      <c r="J2075" s="3" t="str">
        <f>"361"</f>
        <v>361</v>
      </c>
      <c r="K2075" s="2">
        <v>45863</v>
      </c>
      <c r="L2075" s="2">
        <v>45864</v>
      </c>
      <c r="M2075" s="1" t="s">
        <v>5806</v>
      </c>
      <c r="N2075" s="1" t="s">
        <v>4343</v>
      </c>
    </row>
    <row r="2076" spans="1:14" x14ac:dyDescent="0.35">
      <c r="A2076" s="1" t="s">
        <v>4321</v>
      </c>
      <c r="B2076" s="3" t="s">
        <v>4594</v>
      </c>
      <c r="C2076" s="1" t="s">
        <v>5805</v>
      </c>
      <c r="D2076" s="1" t="s">
        <v>5804</v>
      </c>
      <c r="E2076" s="1" t="str">
        <f>"8465"</f>
        <v>8465</v>
      </c>
      <c r="F2076" s="1" t="str">
        <f>"015472757"</f>
        <v>015472757</v>
      </c>
      <c r="G2076" s="1" t="s">
        <v>5803</v>
      </c>
      <c r="H2076" s="1" t="s">
        <v>15</v>
      </c>
      <c r="I2076" s="3" t="str">
        <f>"2"</f>
        <v>2</v>
      </c>
      <c r="J2076" s="3">
        <v>326.54000000000002</v>
      </c>
      <c r="K2076" s="2">
        <v>45863</v>
      </c>
      <c r="L2076" s="2">
        <v>45864</v>
      </c>
      <c r="M2076" s="1" t="s">
        <v>5802</v>
      </c>
      <c r="N2076" s="1" t="s">
        <v>4343</v>
      </c>
    </row>
    <row r="2077" spans="1:14" x14ac:dyDescent="0.35">
      <c r="A2077" s="1" t="s">
        <v>4321</v>
      </c>
      <c r="B2077" s="3" t="s">
        <v>1857</v>
      </c>
      <c r="C2077" s="1" t="s">
        <v>1922</v>
      </c>
      <c r="D2077" s="1" t="s">
        <v>5801</v>
      </c>
      <c r="E2077" s="1" t="str">
        <f>"5855"</f>
        <v>5855</v>
      </c>
      <c r="F2077" s="1" t="s">
        <v>285</v>
      </c>
      <c r="G2077" s="1" t="s">
        <v>286</v>
      </c>
      <c r="H2077" s="1" t="s">
        <v>15</v>
      </c>
      <c r="I2077" s="3" t="str">
        <f>"1"</f>
        <v>1</v>
      </c>
      <c r="J2077" s="3" t="str">
        <f>"35000"</f>
        <v>35000</v>
      </c>
      <c r="K2077" s="2">
        <v>45863</v>
      </c>
      <c r="L2077" s="2">
        <v>45864</v>
      </c>
      <c r="M2077" s="1" t="s">
        <v>5800</v>
      </c>
      <c r="N2077" s="1" t="s">
        <v>5799</v>
      </c>
    </row>
    <row r="2078" spans="1:14" x14ac:dyDescent="0.35">
      <c r="A2078" s="1" t="s">
        <v>4321</v>
      </c>
      <c r="B2078" s="3" t="s">
        <v>1857</v>
      </c>
      <c r="C2078" s="1" t="s">
        <v>1922</v>
      </c>
      <c r="D2078" s="1" t="s">
        <v>5798</v>
      </c>
      <c r="E2078" s="1" t="str">
        <f>"5855"</f>
        <v>5855</v>
      </c>
      <c r="F2078" s="1" t="s">
        <v>1926</v>
      </c>
      <c r="G2078" s="1" t="s">
        <v>1927</v>
      </c>
      <c r="H2078" s="1" t="s">
        <v>15</v>
      </c>
      <c r="I2078" s="3" t="str">
        <f>"6"</f>
        <v>6</v>
      </c>
      <c r="J2078" s="3" t="str">
        <f>"4500"</f>
        <v>4500</v>
      </c>
      <c r="K2078" s="2">
        <v>45863</v>
      </c>
      <c r="L2078" s="2">
        <v>45864</v>
      </c>
      <c r="M2078" s="1" t="s">
        <v>5797</v>
      </c>
      <c r="N2078" s="1" t="s">
        <v>5796</v>
      </c>
    </row>
    <row r="2079" spans="1:14" x14ac:dyDescent="0.35">
      <c r="A2079" s="1" t="s">
        <v>4321</v>
      </c>
      <c r="B2079" s="3" t="s">
        <v>2494</v>
      </c>
      <c r="C2079" s="1" t="s">
        <v>5795</v>
      </c>
      <c r="D2079" s="1" t="s">
        <v>5794</v>
      </c>
      <c r="E2079" s="1" t="str">
        <f>"7025"</f>
        <v>7025</v>
      </c>
      <c r="F2079" s="1" t="s">
        <v>2323</v>
      </c>
      <c r="G2079" s="1" t="s">
        <v>2324</v>
      </c>
      <c r="H2079" s="1" t="s">
        <v>15</v>
      </c>
      <c r="I2079" s="3" t="str">
        <f>"10"</f>
        <v>10</v>
      </c>
      <c r="J2079" s="3" t="str">
        <f>"361"</f>
        <v>361</v>
      </c>
      <c r="K2079" s="2">
        <v>45863</v>
      </c>
      <c r="L2079" s="2">
        <v>45864</v>
      </c>
      <c r="M2079" s="1" t="s">
        <v>5793</v>
      </c>
      <c r="N2079" s="1" t="s">
        <v>5792</v>
      </c>
    </row>
    <row r="2080" spans="1:14" x14ac:dyDescent="0.35">
      <c r="A2080" s="1" t="s">
        <v>4321</v>
      </c>
      <c r="B2080" s="3" t="s">
        <v>2000</v>
      </c>
      <c r="C2080" s="1" t="s">
        <v>2105</v>
      </c>
      <c r="D2080" s="1" t="s">
        <v>5791</v>
      </c>
      <c r="E2080" s="1" t="str">
        <f>"5855"</f>
        <v>5855</v>
      </c>
      <c r="F2080" s="1" t="s">
        <v>1926</v>
      </c>
      <c r="G2080" s="1" t="s">
        <v>1927</v>
      </c>
      <c r="H2080" s="1" t="s">
        <v>15</v>
      </c>
      <c r="I2080" s="3" t="str">
        <f>"6"</f>
        <v>6</v>
      </c>
      <c r="J2080" s="3" t="str">
        <f>"4500"</f>
        <v>4500</v>
      </c>
      <c r="K2080" s="2">
        <v>45863</v>
      </c>
      <c r="L2080" s="2">
        <v>45864</v>
      </c>
      <c r="M2080" s="1" t="s">
        <v>5790</v>
      </c>
      <c r="N2080" s="1" t="s">
        <v>5789</v>
      </c>
    </row>
    <row r="2081" spans="1:14" x14ac:dyDescent="0.35">
      <c r="A2081" s="1" t="s">
        <v>4321</v>
      </c>
      <c r="B2081" s="3" t="s">
        <v>2145</v>
      </c>
      <c r="C2081" s="1" t="s">
        <v>2237</v>
      </c>
      <c r="D2081" s="1" t="s">
        <v>5788</v>
      </c>
      <c r="E2081" s="1" t="str">
        <f>"7025"</f>
        <v>7025</v>
      </c>
      <c r="F2081" s="1" t="s">
        <v>3286</v>
      </c>
      <c r="G2081" s="1" t="s">
        <v>3287</v>
      </c>
      <c r="H2081" s="1" t="s">
        <v>15</v>
      </c>
      <c r="I2081" s="3" t="str">
        <f>"3"</f>
        <v>3</v>
      </c>
      <c r="J2081" s="3" t="str">
        <f>"1600"</f>
        <v>1600</v>
      </c>
      <c r="K2081" s="2">
        <v>45863</v>
      </c>
      <c r="L2081" s="2">
        <v>45864</v>
      </c>
      <c r="M2081" s="1" t="s">
        <v>5787</v>
      </c>
      <c r="N2081" s="1" t="s">
        <v>4343</v>
      </c>
    </row>
    <row r="2082" spans="1:14" x14ac:dyDescent="0.35">
      <c r="A2082" s="1" t="s">
        <v>4321</v>
      </c>
      <c r="B2082" s="3" t="s">
        <v>2494</v>
      </c>
      <c r="C2082" s="1" t="s">
        <v>2617</v>
      </c>
      <c r="D2082" s="1" t="s">
        <v>5786</v>
      </c>
      <c r="E2082" s="1" t="str">
        <f>"5855"</f>
        <v>5855</v>
      </c>
      <c r="F2082" s="1" t="s">
        <v>1926</v>
      </c>
      <c r="G2082" s="1" t="s">
        <v>1927</v>
      </c>
      <c r="H2082" s="1" t="s">
        <v>15</v>
      </c>
      <c r="I2082" s="3" t="str">
        <f>"4"</f>
        <v>4</v>
      </c>
      <c r="J2082" s="3" t="str">
        <f>"4500"</f>
        <v>4500</v>
      </c>
      <c r="K2082" s="2">
        <v>45863</v>
      </c>
      <c r="L2082" s="2">
        <v>45864</v>
      </c>
      <c r="M2082" s="1" t="s">
        <v>5785</v>
      </c>
      <c r="N2082" s="1" t="s">
        <v>4343</v>
      </c>
    </row>
    <row r="2083" spans="1:14" x14ac:dyDescent="0.35">
      <c r="A2083" s="1" t="s">
        <v>4321</v>
      </c>
      <c r="B2083" s="3" t="s">
        <v>691</v>
      </c>
      <c r="C2083" s="1" t="s">
        <v>782</v>
      </c>
      <c r="D2083" s="1" t="s">
        <v>5784</v>
      </c>
      <c r="E2083" s="1" t="str">
        <f>"6230"</f>
        <v>6230</v>
      </c>
      <c r="F2083" s="1" t="s">
        <v>178</v>
      </c>
      <c r="G2083" s="1" t="s">
        <v>179</v>
      </c>
      <c r="H2083" s="1" t="s">
        <v>15</v>
      </c>
      <c r="I2083" s="3" t="str">
        <f>"3"</f>
        <v>3</v>
      </c>
      <c r="J2083" s="3" t="str">
        <f>"1040"</f>
        <v>1040</v>
      </c>
      <c r="K2083" s="2">
        <v>45863</v>
      </c>
      <c r="L2083" s="2">
        <v>45864</v>
      </c>
      <c r="M2083" s="1" t="s">
        <v>5783</v>
      </c>
      <c r="N2083" s="1" t="s">
        <v>4343</v>
      </c>
    </row>
    <row r="2084" spans="1:14" x14ac:dyDescent="0.35">
      <c r="A2084" s="1" t="s">
        <v>4321</v>
      </c>
      <c r="B2084" s="3" t="s">
        <v>93</v>
      </c>
      <c r="C2084" s="1" t="s">
        <v>267</v>
      </c>
      <c r="D2084" s="1" t="s">
        <v>5782</v>
      </c>
      <c r="E2084" s="1" t="str">
        <f>"5855"</f>
        <v>5855</v>
      </c>
      <c r="F2084" s="1" t="s">
        <v>1926</v>
      </c>
      <c r="G2084" s="1" t="s">
        <v>1927</v>
      </c>
      <c r="H2084" s="1" t="s">
        <v>15</v>
      </c>
      <c r="I2084" s="3" t="str">
        <f>"3"</f>
        <v>3</v>
      </c>
      <c r="J2084" s="3" t="str">
        <f>"4500"</f>
        <v>4500</v>
      </c>
      <c r="K2084" s="2">
        <v>45862</v>
      </c>
      <c r="L2084" s="2">
        <v>45864</v>
      </c>
      <c r="M2084" s="1" t="s">
        <v>287</v>
      </c>
      <c r="N2084" s="1" t="s">
        <v>4343</v>
      </c>
    </row>
    <row r="2085" spans="1:14" x14ac:dyDescent="0.35">
      <c r="A2085" s="1" t="s">
        <v>4321</v>
      </c>
      <c r="B2085" s="3" t="s">
        <v>4284</v>
      </c>
      <c r="C2085" s="1" t="s">
        <v>4303</v>
      </c>
      <c r="D2085" s="1" t="s">
        <v>5781</v>
      </c>
      <c r="E2085" s="1" t="str">
        <f>"8145"</f>
        <v>8145</v>
      </c>
      <c r="F2085" s="1" t="s">
        <v>747</v>
      </c>
      <c r="G2085" s="1" t="s">
        <v>748</v>
      </c>
      <c r="H2085" s="1" t="s">
        <v>15</v>
      </c>
      <c r="I2085" s="3" t="str">
        <f>"23"</f>
        <v>23</v>
      </c>
      <c r="J2085" s="3" t="str">
        <f>"142"</f>
        <v>142</v>
      </c>
      <c r="K2085" s="2">
        <v>45861</v>
      </c>
      <c r="L2085" s="2">
        <v>45864</v>
      </c>
      <c r="M2085" s="1" t="s">
        <v>5780</v>
      </c>
      <c r="N2085" s="1" t="s">
        <v>5779</v>
      </c>
    </row>
    <row r="2086" spans="1:14" x14ac:dyDescent="0.35">
      <c r="A2086" s="1" t="s">
        <v>4321</v>
      </c>
      <c r="B2086" s="3" t="s">
        <v>4284</v>
      </c>
      <c r="C2086" s="1" t="s">
        <v>4303</v>
      </c>
      <c r="D2086" s="1" t="s">
        <v>5778</v>
      </c>
      <c r="E2086" s="1" t="str">
        <f>"6230"</f>
        <v>6230</v>
      </c>
      <c r="F2086" s="1" t="s">
        <v>178</v>
      </c>
      <c r="G2086" s="1" t="s">
        <v>179</v>
      </c>
      <c r="H2086" s="1" t="s">
        <v>15</v>
      </c>
      <c r="I2086" s="3" t="str">
        <f>"38"</f>
        <v>38</v>
      </c>
      <c r="J2086" s="3" t="str">
        <f>"85"</f>
        <v>85</v>
      </c>
      <c r="K2086" s="2">
        <v>45861</v>
      </c>
      <c r="L2086" s="2">
        <v>45864</v>
      </c>
      <c r="M2086" s="1" t="s">
        <v>5777</v>
      </c>
      <c r="N2086" s="1" t="s">
        <v>5776</v>
      </c>
    </row>
    <row r="2087" spans="1:14" x14ac:dyDescent="0.35">
      <c r="A2087" s="1" t="s">
        <v>4321</v>
      </c>
      <c r="B2087" s="3" t="s">
        <v>3183</v>
      </c>
      <c r="C2087" s="1" t="s">
        <v>5775</v>
      </c>
      <c r="D2087" s="1" t="s">
        <v>5774</v>
      </c>
      <c r="E2087" s="1" t="str">
        <f>"5855"</f>
        <v>5855</v>
      </c>
      <c r="F2087" s="1" t="str">
        <f>"015333888"</f>
        <v>015333888</v>
      </c>
      <c r="G2087" s="1" t="s">
        <v>2117</v>
      </c>
      <c r="H2087" s="1" t="s">
        <v>15</v>
      </c>
      <c r="I2087" s="3" t="str">
        <f>"3"</f>
        <v>3</v>
      </c>
      <c r="J2087" s="3">
        <v>4356.18</v>
      </c>
      <c r="K2087" s="2">
        <v>45860</v>
      </c>
      <c r="L2087" s="2">
        <v>45864</v>
      </c>
      <c r="M2087" s="1" t="s">
        <v>5773</v>
      </c>
      <c r="N2087" s="1" t="s">
        <v>5772</v>
      </c>
    </row>
    <row r="2088" spans="1:14" x14ac:dyDescent="0.35">
      <c r="A2088" s="1" t="s">
        <v>4321</v>
      </c>
      <c r="B2088" s="3" t="s">
        <v>2987</v>
      </c>
      <c r="C2088" s="1" t="s">
        <v>5771</v>
      </c>
      <c r="D2088" s="1" t="s">
        <v>5770</v>
      </c>
      <c r="E2088" s="1" t="str">
        <f>"5855"</f>
        <v>5855</v>
      </c>
      <c r="F2088" s="1" t="str">
        <f>"015333888"</f>
        <v>015333888</v>
      </c>
      <c r="G2088" s="1" t="s">
        <v>2117</v>
      </c>
      <c r="H2088" s="1" t="s">
        <v>15</v>
      </c>
      <c r="I2088" s="3" t="str">
        <f>"9"</f>
        <v>9</v>
      </c>
      <c r="J2088" s="3">
        <v>4356.18</v>
      </c>
      <c r="K2088" s="2">
        <v>45860</v>
      </c>
      <c r="L2088" s="2">
        <v>45864</v>
      </c>
      <c r="M2088" s="1" t="s">
        <v>5769</v>
      </c>
      <c r="N2088" s="1" t="s">
        <v>5768</v>
      </c>
    </row>
    <row r="2089" spans="1:14" x14ac:dyDescent="0.35">
      <c r="A2089" s="1" t="s">
        <v>4321</v>
      </c>
      <c r="B2089" s="3" t="s">
        <v>2720</v>
      </c>
      <c r="C2089" s="1" t="s">
        <v>2931</v>
      </c>
      <c r="D2089" s="1" t="s">
        <v>5767</v>
      </c>
      <c r="E2089" s="1" t="str">
        <f>"8145"</f>
        <v>8145</v>
      </c>
      <c r="F2089" s="1" t="s">
        <v>747</v>
      </c>
      <c r="G2089" s="1" t="s">
        <v>748</v>
      </c>
      <c r="H2089" s="1" t="s">
        <v>15</v>
      </c>
      <c r="I2089" s="3" t="str">
        <f>"10"</f>
        <v>10</v>
      </c>
      <c r="J2089" s="3" t="str">
        <f>"142"</f>
        <v>142</v>
      </c>
      <c r="K2089" s="2">
        <v>45860</v>
      </c>
      <c r="L2089" s="2">
        <v>45864</v>
      </c>
      <c r="M2089" s="1" t="s">
        <v>5766</v>
      </c>
      <c r="N2089" s="1" t="s">
        <v>4343</v>
      </c>
    </row>
    <row r="2090" spans="1:14" x14ac:dyDescent="0.35">
      <c r="A2090" s="1" t="s">
        <v>4321</v>
      </c>
      <c r="B2090" s="3" t="s">
        <v>691</v>
      </c>
      <c r="C2090" s="1" t="s">
        <v>782</v>
      </c>
      <c r="D2090" s="1" t="s">
        <v>5765</v>
      </c>
      <c r="E2090" s="1" t="str">
        <f>"5130"</f>
        <v>5130</v>
      </c>
      <c r="F2090" s="1" t="s">
        <v>3746</v>
      </c>
      <c r="G2090" s="1" t="s">
        <v>3747</v>
      </c>
      <c r="H2090" s="1" t="s">
        <v>15</v>
      </c>
      <c r="I2090" s="3" t="str">
        <f>"1"</f>
        <v>1</v>
      </c>
      <c r="J2090" s="3">
        <v>678.71</v>
      </c>
      <c r="K2090" s="2">
        <v>45860</v>
      </c>
      <c r="L2090" s="2">
        <v>45864</v>
      </c>
      <c r="M2090" s="1" t="s">
        <v>5764</v>
      </c>
      <c r="N2090" s="1" t="s">
        <v>5763</v>
      </c>
    </row>
    <row r="2091" spans="1:14" x14ac:dyDescent="0.35">
      <c r="A2091" s="1" t="s">
        <v>4321</v>
      </c>
      <c r="B2091" s="3" t="s">
        <v>3183</v>
      </c>
      <c r="C2091" s="1" t="s">
        <v>3184</v>
      </c>
      <c r="D2091" s="1" t="s">
        <v>5762</v>
      </c>
      <c r="E2091" s="1" t="str">
        <f>"4240"</f>
        <v>4240</v>
      </c>
      <c r="F2091" s="1" t="str">
        <f>"015439618"</f>
        <v>015439618</v>
      </c>
      <c r="G2091" s="1" t="s">
        <v>256</v>
      </c>
      <c r="H2091" s="1" t="s">
        <v>15</v>
      </c>
      <c r="I2091" s="3" t="str">
        <f>"95"</f>
        <v>95</v>
      </c>
      <c r="J2091" s="3">
        <v>28.63</v>
      </c>
      <c r="K2091" s="2">
        <v>45859</v>
      </c>
      <c r="L2091" s="2">
        <v>45864</v>
      </c>
      <c r="M2091" s="1" t="s">
        <v>5761</v>
      </c>
      <c r="N2091" s="1" t="s">
        <v>5760</v>
      </c>
    </row>
    <row r="2092" spans="1:14" x14ac:dyDescent="0.35">
      <c r="A2092" s="1" t="s">
        <v>4321</v>
      </c>
      <c r="B2092" s="3" t="s">
        <v>93</v>
      </c>
      <c r="C2092" s="1" t="s">
        <v>137</v>
      </c>
      <c r="D2092" s="1" t="s">
        <v>5759</v>
      </c>
      <c r="E2092" s="1" t="str">
        <f>"7830"</f>
        <v>7830</v>
      </c>
      <c r="F2092" s="1" t="s">
        <v>182</v>
      </c>
      <c r="G2092" s="1" t="s">
        <v>183</v>
      </c>
      <c r="H2092" s="1" t="s">
        <v>15</v>
      </c>
      <c r="I2092" s="3" t="str">
        <f>"1"</f>
        <v>1</v>
      </c>
      <c r="J2092" s="3">
        <v>4599.99</v>
      </c>
      <c r="K2092" s="2">
        <v>45859</v>
      </c>
      <c r="L2092" s="2">
        <v>45864</v>
      </c>
      <c r="M2092" s="1" t="s">
        <v>5758</v>
      </c>
      <c r="N2092" s="1" t="s">
        <v>5757</v>
      </c>
    </row>
    <row r="2093" spans="1:14" x14ac:dyDescent="0.35">
      <c r="A2093" s="1" t="s">
        <v>4321</v>
      </c>
      <c r="B2093" s="3" t="s">
        <v>691</v>
      </c>
      <c r="C2093" s="1" t="s">
        <v>707</v>
      </c>
      <c r="D2093" s="1" t="s">
        <v>5756</v>
      </c>
      <c r="E2093" s="1" t="str">
        <f>"5855"</f>
        <v>5855</v>
      </c>
      <c r="F2093" s="1" t="str">
        <f>"015333888"</f>
        <v>015333888</v>
      </c>
      <c r="G2093" s="1" t="s">
        <v>2117</v>
      </c>
      <c r="H2093" s="1" t="s">
        <v>15</v>
      </c>
      <c r="I2093" s="3" t="str">
        <f>"22"</f>
        <v>22</v>
      </c>
      <c r="J2093" s="3">
        <v>4356.18</v>
      </c>
      <c r="K2093" s="2">
        <v>45859</v>
      </c>
      <c r="L2093" s="2">
        <v>45864</v>
      </c>
      <c r="M2093" s="1" t="s">
        <v>5755</v>
      </c>
      <c r="N2093" s="1" t="s">
        <v>4343</v>
      </c>
    </row>
    <row r="2094" spans="1:14" x14ac:dyDescent="0.35">
      <c r="A2094" s="1" t="s">
        <v>4321</v>
      </c>
      <c r="B2094" s="3" t="s">
        <v>2145</v>
      </c>
      <c r="C2094" s="1" t="s">
        <v>2213</v>
      </c>
      <c r="D2094" s="1" t="s">
        <v>5754</v>
      </c>
      <c r="E2094" s="1" t="str">
        <f>"8465"</f>
        <v>8465</v>
      </c>
      <c r="F2094" s="1" t="str">
        <f>"016036613"</f>
        <v>016036613</v>
      </c>
      <c r="G2094" s="1" t="s">
        <v>804</v>
      </c>
      <c r="H2094" s="1" t="s">
        <v>15</v>
      </c>
      <c r="I2094" s="3" t="str">
        <f>"4"</f>
        <v>4</v>
      </c>
      <c r="J2094" s="3">
        <v>411.37</v>
      </c>
      <c r="K2094" s="2">
        <v>45859</v>
      </c>
      <c r="L2094" s="2">
        <v>45864</v>
      </c>
      <c r="M2094" s="1" t="s">
        <v>5753</v>
      </c>
      <c r="N2094" s="1" t="s">
        <v>5752</v>
      </c>
    </row>
    <row r="2095" spans="1:14" x14ac:dyDescent="0.35">
      <c r="A2095" s="1" t="s">
        <v>4321</v>
      </c>
      <c r="B2095" s="3" t="s">
        <v>4087</v>
      </c>
      <c r="C2095" s="1" t="s">
        <v>4121</v>
      </c>
      <c r="D2095" s="1" t="s">
        <v>5751</v>
      </c>
      <c r="E2095" s="1" t="str">
        <f>"6920"</f>
        <v>6920</v>
      </c>
      <c r="F2095" s="1" t="s">
        <v>2759</v>
      </c>
      <c r="G2095" s="1" t="s">
        <v>2760</v>
      </c>
      <c r="H2095" s="1" t="s">
        <v>15</v>
      </c>
      <c r="I2095" s="3" t="str">
        <f>"5"</f>
        <v>5</v>
      </c>
      <c r="J2095" s="3" t="str">
        <f>"342"</f>
        <v>342</v>
      </c>
      <c r="K2095" s="2">
        <v>45859</v>
      </c>
      <c r="L2095" s="2">
        <v>45864</v>
      </c>
      <c r="M2095" s="1" t="s">
        <v>5750</v>
      </c>
      <c r="N2095" s="1" t="s">
        <v>5749</v>
      </c>
    </row>
    <row r="2096" spans="1:14" x14ac:dyDescent="0.35">
      <c r="A2096" s="1" t="s">
        <v>4321</v>
      </c>
      <c r="B2096" s="3" t="s">
        <v>1699</v>
      </c>
      <c r="C2096" s="1" t="s">
        <v>1764</v>
      </c>
      <c r="D2096" s="1" t="s">
        <v>5748</v>
      </c>
      <c r="E2096" s="1" t="str">
        <f>"5130"</f>
        <v>5130</v>
      </c>
      <c r="F2096" s="1" t="s">
        <v>3746</v>
      </c>
      <c r="G2096" s="1" t="s">
        <v>3747</v>
      </c>
      <c r="H2096" s="1" t="s">
        <v>15</v>
      </c>
      <c r="I2096" s="3" t="str">
        <f>"1"</f>
        <v>1</v>
      </c>
      <c r="J2096" s="3">
        <v>678.71</v>
      </c>
      <c r="K2096" s="2">
        <v>45859</v>
      </c>
      <c r="L2096" s="2">
        <v>45864</v>
      </c>
      <c r="M2096" s="1" t="s">
        <v>5747</v>
      </c>
      <c r="N2096" s="1" t="s">
        <v>5746</v>
      </c>
    </row>
    <row r="2097" spans="1:14" x14ac:dyDescent="0.35">
      <c r="A2097" s="1" t="s">
        <v>4321</v>
      </c>
      <c r="B2097" s="3" t="s">
        <v>3105</v>
      </c>
      <c r="C2097" s="1" t="s">
        <v>3154</v>
      </c>
      <c r="D2097" s="1" t="s">
        <v>5745</v>
      </c>
      <c r="E2097" s="1" t="str">
        <f>"4240"</f>
        <v>4240</v>
      </c>
      <c r="F2097" s="1" t="str">
        <f>"015439618"</f>
        <v>015439618</v>
      </c>
      <c r="G2097" s="1" t="s">
        <v>256</v>
      </c>
      <c r="H2097" s="1" t="s">
        <v>15</v>
      </c>
      <c r="I2097" s="3" t="str">
        <f>"95"</f>
        <v>95</v>
      </c>
      <c r="J2097" s="3">
        <v>28.63</v>
      </c>
      <c r="K2097" s="2">
        <v>45859</v>
      </c>
      <c r="L2097" s="2">
        <v>45864</v>
      </c>
      <c r="M2097" s="1" t="s">
        <v>5744</v>
      </c>
      <c r="N2097" s="1" t="s">
        <v>5743</v>
      </c>
    </row>
    <row r="2098" spans="1:14" x14ac:dyDescent="0.35">
      <c r="A2098" s="1" t="s">
        <v>4321</v>
      </c>
      <c r="B2098" s="3" t="s">
        <v>2248</v>
      </c>
      <c r="C2098" s="1" t="s">
        <v>2332</v>
      </c>
      <c r="D2098" s="1" t="s">
        <v>5742</v>
      </c>
      <c r="E2098" s="1" t="str">
        <f>"8465"</f>
        <v>8465</v>
      </c>
      <c r="F2098" s="1" t="str">
        <f>"016036613"</f>
        <v>016036613</v>
      </c>
      <c r="G2098" s="1" t="s">
        <v>804</v>
      </c>
      <c r="H2098" s="1" t="s">
        <v>15</v>
      </c>
      <c r="I2098" s="3" t="str">
        <f>"40"</f>
        <v>40</v>
      </c>
      <c r="J2098" s="3">
        <v>411.37</v>
      </c>
      <c r="K2098" s="2">
        <v>45858</v>
      </c>
      <c r="L2098" s="2">
        <v>45864</v>
      </c>
      <c r="M2098" s="1" t="s">
        <v>5741</v>
      </c>
      <c r="N2098" s="1" t="s">
        <v>5740</v>
      </c>
    </row>
    <row r="2099" spans="1:14" x14ac:dyDescent="0.35">
      <c r="A2099" s="1" t="s">
        <v>4321</v>
      </c>
      <c r="B2099" s="3" t="s">
        <v>3183</v>
      </c>
      <c r="C2099" s="1" t="s">
        <v>3256</v>
      </c>
      <c r="D2099" s="1" t="s">
        <v>5739</v>
      </c>
      <c r="E2099" s="1" t="str">
        <f>"2320"</f>
        <v>2320</v>
      </c>
      <c r="F2099" s="1" t="str">
        <f>"011382937"</f>
        <v>011382937</v>
      </c>
      <c r="G2099" s="1" t="s">
        <v>1448</v>
      </c>
      <c r="H2099" s="1" t="s">
        <v>15</v>
      </c>
      <c r="I2099" s="3" t="str">
        <f>"1"</f>
        <v>1</v>
      </c>
      <c r="J2099" s="3" t="str">
        <f>"21280"</f>
        <v>21280</v>
      </c>
      <c r="K2099" s="2">
        <v>45857</v>
      </c>
      <c r="L2099" s="2">
        <v>45864</v>
      </c>
      <c r="M2099" s="1" t="s">
        <v>5738</v>
      </c>
      <c r="N2099" s="1" t="s">
        <v>5737</v>
      </c>
    </row>
    <row r="2100" spans="1:14" x14ac:dyDescent="0.35">
      <c r="A2100" s="1" t="s">
        <v>4321</v>
      </c>
      <c r="B2100" s="3" t="s">
        <v>93</v>
      </c>
      <c r="C2100" s="1" t="s">
        <v>369</v>
      </c>
      <c r="D2100" s="1" t="s">
        <v>5736</v>
      </c>
      <c r="E2100" s="1" t="str">
        <f>"2320"</f>
        <v>2320</v>
      </c>
      <c r="F2100" s="1" t="str">
        <f>"009261015"</f>
        <v>009261015</v>
      </c>
      <c r="G2100" s="1" t="s">
        <v>373</v>
      </c>
      <c r="H2100" s="1" t="s">
        <v>15</v>
      </c>
      <c r="I2100" s="3" t="str">
        <f>"1"</f>
        <v>1</v>
      </c>
      <c r="J2100" s="3" t="str">
        <f>"3312"</f>
        <v>3312</v>
      </c>
      <c r="K2100" s="2">
        <v>45854</v>
      </c>
      <c r="L2100" s="2">
        <v>45864</v>
      </c>
      <c r="M2100" s="1" t="s">
        <v>5735</v>
      </c>
      <c r="N2100" s="1" t="s">
        <v>5734</v>
      </c>
    </row>
    <row r="2101" spans="1:14" x14ac:dyDescent="0.35">
      <c r="A2101" s="1" t="s">
        <v>4321</v>
      </c>
      <c r="B2101" s="3" t="s">
        <v>691</v>
      </c>
      <c r="C2101" s="1" t="s">
        <v>782</v>
      </c>
      <c r="D2101" s="1" t="s">
        <v>5733</v>
      </c>
      <c r="E2101" s="1" t="str">
        <f>"7830"</f>
        <v>7830</v>
      </c>
      <c r="F2101" s="1" t="s">
        <v>800</v>
      </c>
      <c r="G2101" s="1" t="s">
        <v>801</v>
      </c>
      <c r="H2101" s="1" t="s">
        <v>15</v>
      </c>
      <c r="I2101" s="3" t="str">
        <f>"1"</f>
        <v>1</v>
      </c>
      <c r="J2101" s="3" t="str">
        <f>"1000"</f>
        <v>1000</v>
      </c>
      <c r="K2101" s="2">
        <v>45854</v>
      </c>
      <c r="L2101" s="2">
        <v>45864</v>
      </c>
      <c r="M2101" s="1" t="s">
        <v>802</v>
      </c>
      <c r="N2101" s="1" t="s">
        <v>5732</v>
      </c>
    </row>
    <row r="2102" spans="1:14" x14ac:dyDescent="0.35">
      <c r="A2102" s="1" t="s">
        <v>4321</v>
      </c>
      <c r="B2102" s="3" t="s">
        <v>1407</v>
      </c>
      <c r="C2102" s="1" t="s">
        <v>1408</v>
      </c>
      <c r="D2102" s="1" t="s">
        <v>5731</v>
      </c>
      <c r="E2102" s="1" t="str">
        <f>"8340"</f>
        <v>8340</v>
      </c>
      <c r="F2102" s="1" t="str">
        <f>"015588711"</f>
        <v>015588711</v>
      </c>
      <c r="G2102" s="1" t="s">
        <v>5260</v>
      </c>
      <c r="H2102" s="1" t="s">
        <v>15</v>
      </c>
      <c r="I2102" s="3" t="str">
        <f>"4"</f>
        <v>4</v>
      </c>
      <c r="J2102" s="3">
        <v>45957.95</v>
      </c>
      <c r="K2102" s="2">
        <v>45853</v>
      </c>
      <c r="L2102" s="2">
        <v>45864</v>
      </c>
      <c r="M2102" s="1" t="s">
        <v>5730</v>
      </c>
      <c r="N2102" s="1" t="s">
        <v>5729</v>
      </c>
    </row>
    <row r="2103" spans="1:14" x14ac:dyDescent="0.35">
      <c r="A2103" s="1" t="s">
        <v>4321</v>
      </c>
      <c r="B2103" s="3" t="s">
        <v>93</v>
      </c>
      <c r="C2103" s="1" t="s">
        <v>369</v>
      </c>
      <c r="D2103" s="1" t="s">
        <v>5728</v>
      </c>
      <c r="E2103" s="1" t="str">
        <f>"4240"</f>
        <v>4240</v>
      </c>
      <c r="F2103" s="1" t="str">
        <f>"015439618"</f>
        <v>015439618</v>
      </c>
      <c r="G2103" s="1" t="s">
        <v>256</v>
      </c>
      <c r="H2103" s="1" t="s">
        <v>15</v>
      </c>
      <c r="I2103" s="3" t="str">
        <f>"25"</f>
        <v>25</v>
      </c>
      <c r="J2103" s="3">
        <v>28.63</v>
      </c>
      <c r="K2103" s="2">
        <v>45853</v>
      </c>
      <c r="L2103" s="2">
        <v>45864</v>
      </c>
      <c r="M2103" s="1" t="s">
        <v>5727</v>
      </c>
      <c r="N2103" s="1" t="s">
        <v>5726</v>
      </c>
    </row>
    <row r="2104" spans="1:14" x14ac:dyDescent="0.35">
      <c r="A2104" s="1" t="s">
        <v>4321</v>
      </c>
      <c r="B2104" s="3" t="s">
        <v>3513</v>
      </c>
      <c r="C2104" s="1" t="s">
        <v>3672</v>
      </c>
      <c r="D2104" s="1" t="s">
        <v>5725</v>
      </c>
      <c r="E2104" s="1" t="str">
        <f>"8145"</f>
        <v>8145</v>
      </c>
      <c r="F2104" s="1" t="str">
        <f>"013252243"</f>
        <v>013252243</v>
      </c>
      <c r="G2104" s="1" t="s">
        <v>599</v>
      </c>
      <c r="H2104" s="1" t="s">
        <v>15</v>
      </c>
      <c r="I2104" s="3" t="str">
        <f>"1"</f>
        <v>1</v>
      </c>
      <c r="J2104" s="3">
        <v>84318.16</v>
      </c>
      <c r="K2104" s="2">
        <v>45852</v>
      </c>
      <c r="L2104" s="2">
        <v>45864</v>
      </c>
      <c r="M2104" s="1" t="s">
        <v>5724</v>
      </c>
      <c r="N2104" s="1" t="s">
        <v>5723</v>
      </c>
    </row>
    <row r="2105" spans="1:14" x14ac:dyDescent="0.35">
      <c r="A2105" s="1" t="s">
        <v>4321</v>
      </c>
      <c r="B2105" s="3" t="s">
        <v>93</v>
      </c>
      <c r="C2105" s="1" t="s">
        <v>369</v>
      </c>
      <c r="D2105" s="1" t="s">
        <v>5722</v>
      </c>
      <c r="E2105" s="1" t="str">
        <f>"2320"</f>
        <v>2320</v>
      </c>
      <c r="F2105" s="1" t="s">
        <v>274</v>
      </c>
      <c r="G2105" s="1" t="s">
        <v>275</v>
      </c>
      <c r="H2105" s="1" t="s">
        <v>15</v>
      </c>
      <c r="I2105" s="3" t="str">
        <f>"1"</f>
        <v>1</v>
      </c>
      <c r="J2105" s="3" t="str">
        <f>"15000"</f>
        <v>15000</v>
      </c>
      <c r="K2105" s="2">
        <v>45851</v>
      </c>
      <c r="L2105" s="2">
        <v>45864</v>
      </c>
      <c r="M2105" s="1" t="s">
        <v>5721</v>
      </c>
      <c r="N2105" s="1" t="s">
        <v>5720</v>
      </c>
    </row>
    <row r="2106" spans="1:14" x14ac:dyDescent="0.35">
      <c r="A2106" s="1" t="s">
        <v>4321</v>
      </c>
      <c r="B2106" s="3" t="s">
        <v>3105</v>
      </c>
      <c r="C2106" s="1" t="s">
        <v>4877</v>
      </c>
      <c r="D2106" s="1" t="s">
        <v>5719</v>
      </c>
      <c r="E2106" s="1" t="str">
        <f>"2320"</f>
        <v>2320</v>
      </c>
      <c r="F2106" s="1" t="str">
        <f>"011162959"</f>
        <v>011162959</v>
      </c>
      <c r="G2106" s="1" t="s">
        <v>117</v>
      </c>
      <c r="H2106" s="1" t="s">
        <v>15</v>
      </c>
      <c r="I2106" s="3" t="str">
        <f>"1"</f>
        <v>1</v>
      </c>
      <c r="J2106" s="3" t="str">
        <f>"85000"</f>
        <v>85000</v>
      </c>
      <c r="K2106" s="2">
        <v>45851</v>
      </c>
      <c r="L2106" s="2">
        <v>45864</v>
      </c>
      <c r="M2106" s="1" t="s">
        <v>5718</v>
      </c>
      <c r="N2106" s="1" t="s">
        <v>5717</v>
      </c>
    </row>
    <row r="2107" spans="1:14" x14ac:dyDescent="0.35">
      <c r="A2107" s="1" t="s">
        <v>4321</v>
      </c>
      <c r="B2107" s="3" t="s">
        <v>1857</v>
      </c>
      <c r="C2107" s="1" t="s">
        <v>1897</v>
      </c>
      <c r="D2107" s="1" t="s">
        <v>5716</v>
      </c>
      <c r="E2107" s="1" t="str">
        <f>"5830"</f>
        <v>5830</v>
      </c>
      <c r="F2107" s="1" t="str">
        <f>"015812404"</f>
        <v>015812404</v>
      </c>
      <c r="G2107" s="1" t="s">
        <v>643</v>
      </c>
      <c r="H2107" s="1" t="s">
        <v>15</v>
      </c>
      <c r="I2107" s="3" t="str">
        <f>"1"</f>
        <v>1</v>
      </c>
      <c r="J2107" s="3">
        <v>34162.629999999997</v>
      </c>
      <c r="K2107" s="2">
        <v>45850</v>
      </c>
      <c r="L2107" s="2">
        <v>45864</v>
      </c>
      <c r="M2107" s="1" t="s">
        <v>1900</v>
      </c>
      <c r="N2107" s="1" t="s">
        <v>5715</v>
      </c>
    </row>
    <row r="2108" spans="1:14" x14ac:dyDescent="0.35">
      <c r="A2108" s="1" t="s">
        <v>4321</v>
      </c>
      <c r="B2108" s="3" t="s">
        <v>3885</v>
      </c>
      <c r="C2108" s="1" t="s">
        <v>4022</v>
      </c>
      <c r="D2108" s="1" t="s">
        <v>5714</v>
      </c>
      <c r="E2108" s="1" t="str">
        <f>"2310"</f>
        <v>2310</v>
      </c>
      <c r="F2108" s="1" t="s">
        <v>413</v>
      </c>
      <c r="G2108" s="1" t="s">
        <v>414</v>
      </c>
      <c r="H2108" s="1" t="s">
        <v>15</v>
      </c>
      <c r="I2108" s="3" t="str">
        <f>"1"</f>
        <v>1</v>
      </c>
      <c r="J2108" s="3" t="str">
        <f>"20000"</f>
        <v>20000</v>
      </c>
      <c r="K2108" s="2">
        <v>45850</v>
      </c>
      <c r="L2108" s="2">
        <v>45864</v>
      </c>
      <c r="M2108" s="1" t="s">
        <v>5713</v>
      </c>
      <c r="N2108" s="1" t="s">
        <v>5712</v>
      </c>
    </row>
    <row r="2109" spans="1:14" x14ac:dyDescent="0.35">
      <c r="A2109" s="1" t="s">
        <v>4321</v>
      </c>
      <c r="B2109" s="3" t="s">
        <v>4308</v>
      </c>
      <c r="C2109" s="1" t="s">
        <v>4309</v>
      </c>
      <c r="D2109" s="1" t="s">
        <v>5711</v>
      </c>
      <c r="E2109" s="1" t="str">
        <f>"2310"</f>
        <v>2310</v>
      </c>
      <c r="F2109" s="1" t="str">
        <f>"000676727"</f>
        <v>000676727</v>
      </c>
      <c r="G2109" s="1" t="s">
        <v>410</v>
      </c>
      <c r="H2109" s="1" t="s">
        <v>15</v>
      </c>
      <c r="I2109" s="3" t="str">
        <f>"1"</f>
        <v>1</v>
      </c>
      <c r="J2109" s="3" t="str">
        <f>"16400"</f>
        <v>16400</v>
      </c>
      <c r="K2109" s="2">
        <v>45827</v>
      </c>
      <c r="L2109" s="2">
        <v>45864</v>
      </c>
      <c r="M2109" s="1" t="s">
        <v>4826</v>
      </c>
      <c r="N2109" s="1" t="s">
        <v>4343</v>
      </c>
    </row>
    <row r="2110" spans="1:14" x14ac:dyDescent="0.35">
      <c r="A2110" s="1" t="s">
        <v>4321</v>
      </c>
      <c r="B2110" s="3" t="s">
        <v>2248</v>
      </c>
      <c r="C2110" s="1" t="s">
        <v>5710</v>
      </c>
      <c r="D2110" s="1" t="s">
        <v>5709</v>
      </c>
      <c r="E2110" s="1" t="str">
        <f>"5410"</f>
        <v>5410</v>
      </c>
      <c r="F2110" s="1" t="str">
        <f>"016030218"</f>
        <v>016030218</v>
      </c>
      <c r="G2110" s="1" t="s">
        <v>5708</v>
      </c>
      <c r="H2110" s="1" t="s">
        <v>15</v>
      </c>
      <c r="I2110" s="3" t="str">
        <f>"2"</f>
        <v>2</v>
      </c>
      <c r="J2110" s="3" t="str">
        <f>"2545"</f>
        <v>2545</v>
      </c>
      <c r="K2110" s="2">
        <v>45825</v>
      </c>
      <c r="L2110" s="2">
        <v>45864</v>
      </c>
      <c r="M2110" s="1" t="s">
        <v>5707</v>
      </c>
      <c r="N2110" s="1" t="s">
        <v>5706</v>
      </c>
    </row>
    <row r="2111" spans="1:14" x14ac:dyDescent="0.35">
      <c r="A2111" s="1" t="s">
        <v>4321</v>
      </c>
      <c r="B2111" s="3" t="s">
        <v>3183</v>
      </c>
      <c r="C2111" s="1" t="s">
        <v>5294</v>
      </c>
      <c r="D2111" s="1" t="s">
        <v>5705</v>
      </c>
      <c r="E2111" s="1" t="str">
        <f>"3805"</f>
        <v>3805</v>
      </c>
      <c r="F2111" s="1" t="s">
        <v>2913</v>
      </c>
      <c r="G2111" s="1" t="s">
        <v>2914</v>
      </c>
      <c r="H2111" s="1" t="s">
        <v>15</v>
      </c>
      <c r="I2111" s="3" t="str">
        <f>"1"</f>
        <v>1</v>
      </c>
      <c r="J2111" s="3" t="str">
        <f>"6000"</f>
        <v>6000</v>
      </c>
      <c r="K2111" s="2">
        <v>45862</v>
      </c>
      <c r="L2111" s="2">
        <v>45863</v>
      </c>
      <c r="M2111" s="1" t="s">
        <v>5704</v>
      </c>
      <c r="N2111" s="1" t="s">
        <v>5703</v>
      </c>
    </row>
    <row r="2112" spans="1:14" x14ac:dyDescent="0.35">
      <c r="A2112" s="1" t="s">
        <v>4321</v>
      </c>
      <c r="B2112" s="3" t="s">
        <v>806</v>
      </c>
      <c r="C2112" s="1" t="s">
        <v>994</v>
      </c>
      <c r="D2112" s="1" t="s">
        <v>5702</v>
      </c>
      <c r="E2112" s="1" t="str">
        <f>"2340"</f>
        <v>2340</v>
      </c>
      <c r="F2112" s="1" t="s">
        <v>694</v>
      </c>
      <c r="G2112" s="1" t="s">
        <v>695</v>
      </c>
      <c r="H2112" s="1" t="s">
        <v>15</v>
      </c>
      <c r="I2112" s="3" t="str">
        <f>"1"</f>
        <v>1</v>
      </c>
      <c r="J2112" s="3" t="str">
        <f>"13420"</f>
        <v>13420</v>
      </c>
      <c r="K2112" s="2">
        <v>45861</v>
      </c>
      <c r="L2112" s="2">
        <v>45863</v>
      </c>
      <c r="M2112" s="1" t="s">
        <v>5701</v>
      </c>
      <c r="N2112" s="1" t="s">
        <v>5700</v>
      </c>
    </row>
    <row r="2113" spans="1:14" x14ac:dyDescent="0.35">
      <c r="A2113" s="1" t="s">
        <v>4321</v>
      </c>
      <c r="B2113" s="3" t="s">
        <v>4284</v>
      </c>
      <c r="C2113" s="1" t="s">
        <v>4303</v>
      </c>
      <c r="D2113" s="1" t="s">
        <v>5699</v>
      </c>
      <c r="E2113" s="1" t="str">
        <f>"7125"</f>
        <v>7125</v>
      </c>
      <c r="F2113" s="1" t="s">
        <v>3603</v>
      </c>
      <c r="G2113" s="1" t="s">
        <v>3604</v>
      </c>
      <c r="H2113" s="1" t="s">
        <v>15</v>
      </c>
      <c r="I2113" s="3" t="str">
        <f>"6"</f>
        <v>6</v>
      </c>
      <c r="J2113" s="3" t="str">
        <f>"50"</f>
        <v>50</v>
      </c>
      <c r="K2113" s="2">
        <v>45861</v>
      </c>
      <c r="L2113" s="2">
        <v>45863</v>
      </c>
      <c r="M2113" s="1" t="s">
        <v>5698</v>
      </c>
      <c r="N2113" s="1" t="s">
        <v>5697</v>
      </c>
    </row>
    <row r="2114" spans="1:14" x14ac:dyDescent="0.35">
      <c r="A2114" s="1" t="s">
        <v>4321</v>
      </c>
      <c r="B2114" s="3" t="s">
        <v>691</v>
      </c>
      <c r="C2114" s="1" t="s">
        <v>782</v>
      </c>
      <c r="D2114" s="1" t="s">
        <v>5696</v>
      </c>
      <c r="E2114" s="1" t="str">
        <f>"7830"</f>
        <v>7830</v>
      </c>
      <c r="F2114" s="1" t="s">
        <v>4083</v>
      </c>
      <c r="G2114" s="1" t="s">
        <v>4084</v>
      </c>
      <c r="H2114" s="1" t="s">
        <v>15</v>
      </c>
      <c r="I2114" s="3" t="str">
        <f>"1"</f>
        <v>1</v>
      </c>
      <c r="J2114" s="3" t="str">
        <f>"2165"</f>
        <v>2165</v>
      </c>
      <c r="K2114" s="2">
        <v>45860</v>
      </c>
      <c r="L2114" s="2">
        <v>45863</v>
      </c>
      <c r="M2114" s="1" t="s">
        <v>5695</v>
      </c>
      <c r="N2114" s="1" t="s">
        <v>5694</v>
      </c>
    </row>
    <row r="2115" spans="1:14" x14ac:dyDescent="0.35">
      <c r="A2115" s="1" t="s">
        <v>4321</v>
      </c>
      <c r="B2115" s="3" t="s">
        <v>3513</v>
      </c>
      <c r="C2115" s="1" t="s">
        <v>5051</v>
      </c>
      <c r="D2115" s="1" t="s">
        <v>5693</v>
      </c>
      <c r="E2115" s="1" t="str">
        <f>"8115"</f>
        <v>8115</v>
      </c>
      <c r="F2115" s="1" t="str">
        <f>"001682275"</f>
        <v>001682275</v>
      </c>
      <c r="G2115" s="1" t="s">
        <v>4368</v>
      </c>
      <c r="H2115" s="1" t="s">
        <v>15</v>
      </c>
      <c r="I2115" s="3" t="str">
        <f>"1"</f>
        <v>1</v>
      </c>
      <c r="J2115" s="3" t="str">
        <f>"1324"</f>
        <v>1324</v>
      </c>
      <c r="K2115" s="2">
        <v>45859</v>
      </c>
      <c r="L2115" s="2">
        <v>45863</v>
      </c>
      <c r="M2115" s="1" t="s">
        <v>5690</v>
      </c>
      <c r="N2115" s="1" t="s">
        <v>5692</v>
      </c>
    </row>
    <row r="2116" spans="1:14" x14ac:dyDescent="0.35">
      <c r="A2116" s="1" t="s">
        <v>4321</v>
      </c>
      <c r="B2116" s="3" t="s">
        <v>3513</v>
      </c>
      <c r="C2116" s="1" t="s">
        <v>5051</v>
      </c>
      <c r="D2116" s="1" t="s">
        <v>5691</v>
      </c>
      <c r="E2116" s="1" t="str">
        <f>"8115"</f>
        <v>8115</v>
      </c>
      <c r="F2116" s="1" t="str">
        <f>"001682275"</f>
        <v>001682275</v>
      </c>
      <c r="G2116" s="1" t="s">
        <v>4368</v>
      </c>
      <c r="H2116" s="1" t="s">
        <v>15</v>
      </c>
      <c r="I2116" s="3" t="str">
        <f>"1"</f>
        <v>1</v>
      </c>
      <c r="J2116" s="3" t="str">
        <f>"1324"</f>
        <v>1324</v>
      </c>
      <c r="K2116" s="2">
        <v>45859</v>
      </c>
      <c r="L2116" s="2">
        <v>45863</v>
      </c>
      <c r="M2116" s="1" t="s">
        <v>5690</v>
      </c>
      <c r="N2116" s="1" t="s">
        <v>5689</v>
      </c>
    </row>
    <row r="2117" spans="1:14" x14ac:dyDescent="0.35">
      <c r="A2117" s="1" t="s">
        <v>4321</v>
      </c>
      <c r="B2117" s="3" t="s">
        <v>3513</v>
      </c>
      <c r="C2117" s="1" t="s">
        <v>5051</v>
      </c>
      <c r="D2117" s="1" t="s">
        <v>5688</v>
      </c>
      <c r="E2117" s="1" t="str">
        <f>"8115"</f>
        <v>8115</v>
      </c>
      <c r="F2117" s="1" t="str">
        <f>"001682275"</f>
        <v>001682275</v>
      </c>
      <c r="G2117" s="1" t="s">
        <v>4368</v>
      </c>
      <c r="H2117" s="1" t="s">
        <v>15</v>
      </c>
      <c r="I2117" s="3" t="str">
        <f>"1"</f>
        <v>1</v>
      </c>
      <c r="J2117" s="3" t="str">
        <f>"1324"</f>
        <v>1324</v>
      </c>
      <c r="K2117" s="2">
        <v>45859</v>
      </c>
      <c r="L2117" s="2">
        <v>45863</v>
      </c>
      <c r="M2117" s="1" t="s">
        <v>5687</v>
      </c>
      <c r="N2117" s="1" t="s">
        <v>5686</v>
      </c>
    </row>
    <row r="2118" spans="1:14" x14ac:dyDescent="0.35">
      <c r="A2118" s="1" t="s">
        <v>4321</v>
      </c>
      <c r="B2118" s="3" t="s">
        <v>93</v>
      </c>
      <c r="C2118" s="1" t="s">
        <v>565</v>
      </c>
      <c r="D2118" s="1" t="s">
        <v>5685</v>
      </c>
      <c r="E2118" s="1" t="str">
        <f>"3990"</f>
        <v>3990</v>
      </c>
      <c r="F2118" s="1" t="s">
        <v>154</v>
      </c>
      <c r="G2118" s="1" t="s">
        <v>155</v>
      </c>
      <c r="H2118" s="1" t="s">
        <v>15</v>
      </c>
      <c r="I2118" s="3" t="str">
        <f>"1"</f>
        <v>1</v>
      </c>
      <c r="J2118" s="3" t="str">
        <f>"27500"</f>
        <v>27500</v>
      </c>
      <c r="K2118" s="2">
        <v>45854</v>
      </c>
      <c r="L2118" s="2">
        <v>45863</v>
      </c>
      <c r="M2118" s="1" t="s">
        <v>5684</v>
      </c>
      <c r="N2118" s="1" t="s">
        <v>5683</v>
      </c>
    </row>
    <row r="2119" spans="1:14" x14ac:dyDescent="0.35">
      <c r="A2119" s="1" t="s">
        <v>4321</v>
      </c>
      <c r="B2119" s="3" t="s">
        <v>93</v>
      </c>
      <c r="C2119" s="1" t="s">
        <v>369</v>
      </c>
      <c r="D2119" s="1" t="s">
        <v>5682</v>
      </c>
      <c r="E2119" s="1" t="str">
        <f>"3990"</f>
        <v>3990</v>
      </c>
      <c r="F2119" s="1" t="s">
        <v>154</v>
      </c>
      <c r="G2119" s="1" t="s">
        <v>155</v>
      </c>
      <c r="H2119" s="1" t="s">
        <v>15</v>
      </c>
      <c r="I2119" s="3" t="str">
        <f>"1"</f>
        <v>1</v>
      </c>
      <c r="J2119" s="3" t="str">
        <f>"27500"</f>
        <v>27500</v>
      </c>
      <c r="K2119" s="2">
        <v>45853</v>
      </c>
      <c r="L2119" s="2">
        <v>45863</v>
      </c>
      <c r="M2119" s="1" t="s">
        <v>5681</v>
      </c>
      <c r="N2119" s="1" t="s">
        <v>5680</v>
      </c>
    </row>
    <row r="2120" spans="1:14" x14ac:dyDescent="0.35">
      <c r="A2120" s="1" t="s">
        <v>4321</v>
      </c>
      <c r="B2120" s="3" t="s">
        <v>1699</v>
      </c>
      <c r="C2120" s="1" t="s">
        <v>1818</v>
      </c>
      <c r="D2120" s="1" t="s">
        <v>5679</v>
      </c>
      <c r="E2120" s="1" t="str">
        <f>"6115"</f>
        <v>6115</v>
      </c>
      <c r="F2120" s="1" t="str">
        <f>"004557697"</f>
        <v>004557697</v>
      </c>
      <c r="G2120" s="1" t="s">
        <v>5678</v>
      </c>
      <c r="H2120" s="1" t="s">
        <v>15</v>
      </c>
      <c r="I2120" s="3" t="str">
        <f>"1"</f>
        <v>1</v>
      </c>
      <c r="J2120" s="3">
        <v>20858.96</v>
      </c>
      <c r="K2120" s="2">
        <v>45853</v>
      </c>
      <c r="L2120" s="2">
        <v>45863</v>
      </c>
      <c r="M2120" s="1" t="s">
        <v>1841</v>
      </c>
      <c r="N2120" s="1" t="s">
        <v>5677</v>
      </c>
    </row>
    <row r="2121" spans="1:14" x14ac:dyDescent="0.35">
      <c r="A2121" s="1" t="s">
        <v>4321</v>
      </c>
      <c r="B2121" s="3" t="s">
        <v>4284</v>
      </c>
      <c r="C2121" s="1" t="s">
        <v>5676</v>
      </c>
      <c r="D2121" s="1" t="s">
        <v>5675</v>
      </c>
      <c r="E2121" s="1" t="str">
        <f>"2330"</f>
        <v>2330</v>
      </c>
      <c r="F2121" s="1" t="str">
        <f>"011087367"</f>
        <v>011087367</v>
      </c>
      <c r="G2121" s="1" t="s">
        <v>1698</v>
      </c>
      <c r="H2121" s="1" t="s">
        <v>15</v>
      </c>
      <c r="I2121" s="3" t="str">
        <f>"1"</f>
        <v>1</v>
      </c>
      <c r="J2121" s="3" t="str">
        <f>"22000"</f>
        <v>22000</v>
      </c>
      <c r="K2121" s="2">
        <v>45852</v>
      </c>
      <c r="L2121" s="2">
        <v>45863</v>
      </c>
      <c r="M2121" s="1" t="s">
        <v>5674</v>
      </c>
      <c r="N2121" s="1" t="s">
        <v>5673</v>
      </c>
    </row>
    <row r="2122" spans="1:14" x14ac:dyDescent="0.35">
      <c r="A2122" s="1" t="s">
        <v>4321</v>
      </c>
      <c r="B2122" s="3" t="s">
        <v>1407</v>
      </c>
      <c r="C2122" s="1" t="s">
        <v>1408</v>
      </c>
      <c r="D2122" s="1" t="s">
        <v>5672</v>
      </c>
      <c r="E2122" s="1" t="str">
        <f>"8415"</f>
        <v>8415</v>
      </c>
      <c r="F2122" s="1" t="str">
        <f>"014646612"</f>
        <v>014646612</v>
      </c>
      <c r="G2122" s="1" t="s">
        <v>5247</v>
      </c>
      <c r="H2122" s="1" t="s">
        <v>15</v>
      </c>
      <c r="I2122" s="3" t="str">
        <f>"137"</f>
        <v>137</v>
      </c>
      <c r="J2122" s="3">
        <v>35.520000000000003</v>
      </c>
      <c r="K2122" s="2">
        <v>45851</v>
      </c>
      <c r="L2122" s="2">
        <v>45863</v>
      </c>
      <c r="M2122" s="1" t="s">
        <v>5246</v>
      </c>
      <c r="N2122" s="1" t="s">
        <v>5671</v>
      </c>
    </row>
    <row r="2123" spans="1:14" x14ac:dyDescent="0.35">
      <c r="A2123" s="1" t="s">
        <v>4321</v>
      </c>
      <c r="B2123" s="3" t="s">
        <v>2145</v>
      </c>
      <c r="C2123" s="1" t="s">
        <v>2153</v>
      </c>
      <c r="D2123" s="1" t="s">
        <v>5670</v>
      </c>
      <c r="E2123" s="1" t="str">
        <f>"3990"</f>
        <v>3990</v>
      </c>
      <c r="F2123" s="1" t="str">
        <f>"013456619"</f>
        <v>013456619</v>
      </c>
      <c r="G2123" s="1" t="s">
        <v>5666</v>
      </c>
      <c r="H2123" s="1" t="s">
        <v>58</v>
      </c>
      <c r="I2123" s="3" t="str">
        <f>"4"</f>
        <v>4</v>
      </c>
      <c r="J2123" s="3">
        <v>8277.33</v>
      </c>
      <c r="K2123" s="2">
        <v>45850</v>
      </c>
      <c r="L2123" s="2">
        <v>45863</v>
      </c>
      <c r="M2123" s="1" t="s">
        <v>5669</v>
      </c>
      <c r="N2123" s="1" t="s">
        <v>5668</v>
      </c>
    </row>
    <row r="2124" spans="1:14" x14ac:dyDescent="0.35">
      <c r="A2124" s="1" t="s">
        <v>4321</v>
      </c>
      <c r="B2124" s="3" t="s">
        <v>2000</v>
      </c>
      <c r="C2124" s="1" t="s">
        <v>2078</v>
      </c>
      <c r="D2124" s="1" t="s">
        <v>5667</v>
      </c>
      <c r="E2124" s="1" t="str">
        <f>"3990"</f>
        <v>3990</v>
      </c>
      <c r="F2124" s="1" t="str">
        <f>"013456619"</f>
        <v>013456619</v>
      </c>
      <c r="G2124" s="1" t="s">
        <v>5666</v>
      </c>
      <c r="H2124" s="1" t="s">
        <v>58</v>
      </c>
      <c r="I2124" s="3" t="str">
        <f>"4"</f>
        <v>4</v>
      </c>
      <c r="J2124" s="3">
        <v>8277.33</v>
      </c>
      <c r="K2124" s="2">
        <v>45850</v>
      </c>
      <c r="L2124" s="2">
        <v>45863</v>
      </c>
      <c r="M2124" s="1" t="s">
        <v>5665</v>
      </c>
      <c r="N2124" s="1" t="s">
        <v>5664</v>
      </c>
    </row>
    <row r="2125" spans="1:14" x14ac:dyDescent="0.35">
      <c r="A2125" s="1" t="s">
        <v>4321</v>
      </c>
      <c r="B2125" s="3" t="s">
        <v>2114</v>
      </c>
      <c r="C2125" s="1" t="s">
        <v>2134</v>
      </c>
      <c r="D2125" s="1" t="s">
        <v>5663</v>
      </c>
      <c r="E2125" s="1" t="str">
        <f>"6545"</f>
        <v>6545</v>
      </c>
      <c r="F2125" s="1" t="str">
        <f>"015472752"</f>
        <v>015472752</v>
      </c>
      <c r="G2125" s="1" t="s">
        <v>4164</v>
      </c>
      <c r="H2125" s="1" t="s">
        <v>15</v>
      </c>
      <c r="I2125" s="3" t="str">
        <f>"2"</f>
        <v>2</v>
      </c>
      <c r="J2125" s="3">
        <v>273.69</v>
      </c>
      <c r="K2125" s="2">
        <v>45844</v>
      </c>
      <c r="L2125" s="2">
        <v>45863</v>
      </c>
      <c r="M2125" s="1" t="s">
        <v>5662</v>
      </c>
      <c r="N2125" s="1" t="s">
        <v>5661</v>
      </c>
    </row>
    <row r="2126" spans="1:14" x14ac:dyDescent="0.35">
      <c r="A2126" s="1" t="s">
        <v>4321</v>
      </c>
      <c r="B2126" s="3" t="s">
        <v>2638</v>
      </c>
      <c r="C2126" s="1" t="s">
        <v>2681</v>
      </c>
      <c r="D2126" s="1" t="s">
        <v>5660</v>
      </c>
      <c r="E2126" s="1" t="str">
        <f>"2540"</f>
        <v>2540</v>
      </c>
      <c r="F2126" s="1" t="str">
        <f>"013949681"</f>
        <v>013949681</v>
      </c>
      <c r="G2126" s="1" t="s">
        <v>5659</v>
      </c>
      <c r="H2126" s="1" t="s">
        <v>15</v>
      </c>
      <c r="I2126" s="3" t="str">
        <f>"1"</f>
        <v>1</v>
      </c>
      <c r="J2126" s="3">
        <v>250.55</v>
      </c>
      <c r="K2126" s="2">
        <v>45813</v>
      </c>
      <c r="L2126" s="2">
        <v>45863</v>
      </c>
      <c r="M2126" s="1" t="s">
        <v>5658</v>
      </c>
      <c r="N2126" s="1" t="s">
        <v>5657</v>
      </c>
    </row>
    <row r="2127" spans="1:14" x14ac:dyDescent="0.35">
      <c r="A2127" s="1" t="s">
        <v>4321</v>
      </c>
      <c r="B2127" s="3" t="s">
        <v>1445</v>
      </c>
      <c r="C2127" s="1" t="s">
        <v>1626</v>
      </c>
      <c r="D2127" s="1" t="s">
        <v>5656</v>
      </c>
      <c r="E2127" s="1" t="str">
        <f>"3930"</f>
        <v>3930</v>
      </c>
      <c r="F2127" s="1" t="s">
        <v>150</v>
      </c>
      <c r="G2127" s="1" t="s">
        <v>151</v>
      </c>
      <c r="H2127" s="1" t="s">
        <v>15</v>
      </c>
      <c r="I2127" s="3" t="str">
        <f>"1"</f>
        <v>1</v>
      </c>
      <c r="J2127" s="3" t="str">
        <f>"15000"</f>
        <v>15000</v>
      </c>
      <c r="K2127" s="2">
        <v>45861</v>
      </c>
      <c r="L2127" s="2">
        <v>45862</v>
      </c>
      <c r="M2127" s="1" t="s">
        <v>5655</v>
      </c>
      <c r="N2127" s="1" t="s">
        <v>5654</v>
      </c>
    </row>
    <row r="2128" spans="1:14" x14ac:dyDescent="0.35">
      <c r="A2128" s="1" t="s">
        <v>4321</v>
      </c>
      <c r="B2128" s="3" t="s">
        <v>93</v>
      </c>
      <c r="C2128" s="1" t="s">
        <v>403</v>
      </c>
      <c r="D2128" s="1" t="s">
        <v>5653</v>
      </c>
      <c r="E2128" s="1" t="str">
        <f>"2340"</f>
        <v>2340</v>
      </c>
      <c r="F2128" s="1" t="s">
        <v>2142</v>
      </c>
      <c r="G2128" s="1" t="s">
        <v>2143</v>
      </c>
      <c r="H2128" s="1" t="s">
        <v>15</v>
      </c>
      <c r="I2128" s="3" t="str">
        <f>"2"</f>
        <v>2</v>
      </c>
      <c r="J2128" s="3" t="str">
        <f>"1600"</f>
        <v>1600</v>
      </c>
      <c r="K2128" s="2">
        <v>45857</v>
      </c>
      <c r="L2128" s="2">
        <v>45862</v>
      </c>
      <c r="M2128" s="1" t="s">
        <v>5652</v>
      </c>
      <c r="N2128" s="1" t="s">
        <v>5651</v>
      </c>
    </row>
    <row r="2129" spans="1:14" x14ac:dyDescent="0.35">
      <c r="A2129" s="1" t="s">
        <v>4321</v>
      </c>
      <c r="B2129" s="3" t="s">
        <v>2720</v>
      </c>
      <c r="C2129" s="1" t="s">
        <v>2897</v>
      </c>
      <c r="D2129" s="1" t="s">
        <v>5650</v>
      </c>
      <c r="E2129" s="1" t="str">
        <f>"3930"</f>
        <v>3930</v>
      </c>
      <c r="F2129" s="1" t="s">
        <v>1706</v>
      </c>
      <c r="G2129" s="1" t="s">
        <v>1707</v>
      </c>
      <c r="H2129" s="1" t="s">
        <v>15</v>
      </c>
      <c r="I2129" s="3" t="str">
        <f>"1"</f>
        <v>1</v>
      </c>
      <c r="J2129" s="3" t="str">
        <f>"60000"</f>
        <v>60000</v>
      </c>
      <c r="K2129" s="2">
        <v>45854</v>
      </c>
      <c r="L2129" s="2">
        <v>45862</v>
      </c>
      <c r="N2129" s="1" t="s">
        <v>5649</v>
      </c>
    </row>
    <row r="2130" spans="1:14" x14ac:dyDescent="0.35">
      <c r="A2130" s="1" t="s">
        <v>4321</v>
      </c>
      <c r="B2130" s="3" t="s">
        <v>2720</v>
      </c>
      <c r="C2130" s="1" t="s">
        <v>2975</v>
      </c>
      <c r="D2130" s="1" t="s">
        <v>5648</v>
      </c>
      <c r="E2130" s="1" t="str">
        <f>"2340"</f>
        <v>2340</v>
      </c>
      <c r="F2130" s="1" t="s">
        <v>694</v>
      </c>
      <c r="G2130" s="1" t="s">
        <v>695</v>
      </c>
      <c r="H2130" s="1" t="s">
        <v>15</v>
      </c>
      <c r="I2130" s="3" t="str">
        <f>"1"</f>
        <v>1</v>
      </c>
      <c r="J2130" s="3" t="str">
        <f>"5099"</f>
        <v>5099</v>
      </c>
      <c r="K2130" s="2">
        <v>45838</v>
      </c>
      <c r="L2130" s="2">
        <v>45862</v>
      </c>
      <c r="M2130" s="1" t="s">
        <v>5647</v>
      </c>
      <c r="N2130" s="1" t="s">
        <v>5646</v>
      </c>
    </row>
    <row r="2131" spans="1:14" x14ac:dyDescent="0.35">
      <c r="A2131" s="1" t="s">
        <v>4321</v>
      </c>
      <c r="B2131" s="3" t="s">
        <v>2720</v>
      </c>
      <c r="C2131" s="1" t="s">
        <v>2931</v>
      </c>
      <c r="D2131" s="1" t="s">
        <v>5645</v>
      </c>
      <c r="E2131" s="1" t="str">
        <f>"5855"</f>
        <v>5855</v>
      </c>
      <c r="F2131" s="1" t="str">
        <f>"015847217"</f>
        <v>015847217</v>
      </c>
      <c r="G2131" s="1" t="s">
        <v>1942</v>
      </c>
      <c r="H2131" s="1" t="s">
        <v>15</v>
      </c>
      <c r="I2131" s="3" t="str">
        <f>"1"</f>
        <v>1</v>
      </c>
      <c r="J2131" s="3" t="str">
        <f>"35674"</f>
        <v>35674</v>
      </c>
      <c r="K2131" s="2">
        <v>45860</v>
      </c>
      <c r="L2131" s="2">
        <v>45861</v>
      </c>
      <c r="M2131" s="1" t="s">
        <v>5644</v>
      </c>
      <c r="N2131" s="1" t="s">
        <v>4343</v>
      </c>
    </row>
    <row r="2132" spans="1:14" x14ac:dyDescent="0.35">
      <c r="A2132" s="1" t="s">
        <v>4321</v>
      </c>
      <c r="B2132" s="3" t="s">
        <v>93</v>
      </c>
      <c r="C2132" s="1" t="s">
        <v>137</v>
      </c>
      <c r="D2132" s="1" t="s">
        <v>5643</v>
      </c>
      <c r="E2132" s="1" t="str">
        <f>"5140"</f>
        <v>5140</v>
      </c>
      <c r="F2132" s="1" t="str">
        <f>"015881472"</f>
        <v>015881472</v>
      </c>
      <c r="G2132" s="1" t="s">
        <v>358</v>
      </c>
      <c r="H2132" s="1" t="s">
        <v>15</v>
      </c>
      <c r="I2132" s="3" t="str">
        <f>"2"</f>
        <v>2</v>
      </c>
      <c r="J2132" s="3">
        <v>4113.2</v>
      </c>
      <c r="K2132" s="2">
        <v>45859</v>
      </c>
      <c r="L2132" s="2">
        <v>45861</v>
      </c>
      <c r="M2132" s="1" t="s">
        <v>5642</v>
      </c>
      <c r="N2132" s="1" t="s">
        <v>4387</v>
      </c>
    </row>
    <row r="2133" spans="1:14" x14ac:dyDescent="0.35">
      <c r="A2133" s="1" t="s">
        <v>4321</v>
      </c>
      <c r="B2133" s="3" t="s">
        <v>2638</v>
      </c>
      <c r="C2133" s="1" t="s">
        <v>2645</v>
      </c>
      <c r="D2133" s="1" t="s">
        <v>5641</v>
      </c>
      <c r="E2133" s="1" t="str">
        <f>"2330"</f>
        <v>2330</v>
      </c>
      <c r="F2133" s="1" t="s">
        <v>70</v>
      </c>
      <c r="G2133" s="1" t="s">
        <v>71</v>
      </c>
      <c r="H2133" s="1" t="s">
        <v>15</v>
      </c>
      <c r="I2133" s="3" t="str">
        <f>"1"</f>
        <v>1</v>
      </c>
      <c r="J2133" s="3" t="str">
        <f>"60000"</f>
        <v>60000</v>
      </c>
      <c r="K2133" s="2">
        <v>45859</v>
      </c>
      <c r="L2133" s="2">
        <v>45861</v>
      </c>
      <c r="M2133" s="1" t="s">
        <v>5640</v>
      </c>
      <c r="N2133" s="1" t="s">
        <v>5639</v>
      </c>
    </row>
    <row r="2134" spans="1:14" x14ac:dyDescent="0.35">
      <c r="A2134" s="1" t="s">
        <v>4321</v>
      </c>
      <c r="B2134" s="3" t="s">
        <v>2248</v>
      </c>
      <c r="C2134" s="1" t="s">
        <v>2265</v>
      </c>
      <c r="D2134" s="1" t="s">
        <v>5638</v>
      </c>
      <c r="E2134" s="1" t="str">
        <f>"5855"</f>
        <v>5855</v>
      </c>
      <c r="F2134" s="1" t="str">
        <f>"015847217"</f>
        <v>015847217</v>
      </c>
      <c r="G2134" s="1" t="s">
        <v>1942</v>
      </c>
      <c r="H2134" s="1" t="s">
        <v>15</v>
      </c>
      <c r="I2134" s="3" t="str">
        <f>"1"</f>
        <v>1</v>
      </c>
      <c r="J2134" s="3" t="str">
        <f>"35674"</f>
        <v>35674</v>
      </c>
      <c r="K2134" s="2">
        <v>45859</v>
      </c>
      <c r="L2134" s="2">
        <v>45861</v>
      </c>
      <c r="M2134" s="1" t="s">
        <v>5637</v>
      </c>
      <c r="N2134" s="1" t="s">
        <v>4343</v>
      </c>
    </row>
    <row r="2135" spans="1:14" x14ac:dyDescent="0.35">
      <c r="A2135" s="1" t="s">
        <v>4321</v>
      </c>
      <c r="B2135" s="3" t="s">
        <v>691</v>
      </c>
      <c r="C2135" s="1" t="s">
        <v>707</v>
      </c>
      <c r="D2135" s="1" t="s">
        <v>5636</v>
      </c>
      <c r="E2135" s="1" t="str">
        <f>"5855"</f>
        <v>5855</v>
      </c>
      <c r="F2135" s="1" t="str">
        <f>"015847217"</f>
        <v>015847217</v>
      </c>
      <c r="G2135" s="1" t="s">
        <v>1942</v>
      </c>
      <c r="H2135" s="1" t="s">
        <v>15</v>
      </c>
      <c r="I2135" s="3" t="str">
        <f>"1"</f>
        <v>1</v>
      </c>
      <c r="J2135" s="3" t="str">
        <f>"35674"</f>
        <v>35674</v>
      </c>
      <c r="K2135" s="2">
        <v>45859</v>
      </c>
      <c r="L2135" s="2">
        <v>45861</v>
      </c>
      <c r="M2135" s="1" t="s">
        <v>5635</v>
      </c>
      <c r="N2135" s="1" t="s">
        <v>4343</v>
      </c>
    </row>
    <row r="2136" spans="1:14" x14ac:dyDescent="0.35">
      <c r="A2136" s="1" t="s">
        <v>4321</v>
      </c>
      <c r="B2136" s="3" t="s">
        <v>3183</v>
      </c>
      <c r="C2136" s="1" t="s">
        <v>3328</v>
      </c>
      <c r="D2136" s="1" t="s">
        <v>5634</v>
      </c>
      <c r="E2136" s="1" t="str">
        <f>"2330"</f>
        <v>2330</v>
      </c>
      <c r="F2136" s="1" t="s">
        <v>70</v>
      </c>
      <c r="G2136" s="1" t="s">
        <v>71</v>
      </c>
      <c r="H2136" s="1" t="s">
        <v>15</v>
      </c>
      <c r="I2136" s="3" t="str">
        <f>"1"</f>
        <v>1</v>
      </c>
      <c r="J2136" s="3" t="str">
        <f>"60000"</f>
        <v>60000</v>
      </c>
      <c r="K2136" s="2">
        <v>45859</v>
      </c>
      <c r="L2136" s="2">
        <v>45861</v>
      </c>
      <c r="M2136" s="1" t="s">
        <v>5633</v>
      </c>
      <c r="N2136" s="1" t="s">
        <v>5632</v>
      </c>
    </row>
    <row r="2137" spans="1:14" x14ac:dyDescent="0.35">
      <c r="A2137" s="1" t="s">
        <v>4321</v>
      </c>
      <c r="B2137" s="3" t="s">
        <v>1699</v>
      </c>
      <c r="C2137" s="1" t="s">
        <v>1764</v>
      </c>
      <c r="D2137" s="1" t="s">
        <v>5631</v>
      </c>
      <c r="E2137" s="1" t="str">
        <f>"3612"</f>
        <v>3612</v>
      </c>
      <c r="F2137" s="1" t="s">
        <v>5630</v>
      </c>
      <c r="G2137" s="1" t="s">
        <v>5629</v>
      </c>
      <c r="H2137" s="1" t="s">
        <v>15</v>
      </c>
      <c r="I2137" s="3" t="str">
        <f>"1"</f>
        <v>1</v>
      </c>
      <c r="J2137" s="3" t="str">
        <f>"4499"</f>
        <v>4499</v>
      </c>
      <c r="K2137" s="2">
        <v>45859</v>
      </c>
      <c r="L2137" s="2">
        <v>45861</v>
      </c>
      <c r="M2137" s="1" t="s">
        <v>5628</v>
      </c>
      <c r="N2137" s="1" t="s">
        <v>5627</v>
      </c>
    </row>
    <row r="2138" spans="1:14" x14ac:dyDescent="0.35">
      <c r="A2138" s="1" t="s">
        <v>4321</v>
      </c>
      <c r="B2138" s="3" t="s">
        <v>2248</v>
      </c>
      <c r="C2138" s="1" t="s">
        <v>2427</v>
      </c>
      <c r="D2138" s="1" t="s">
        <v>5626</v>
      </c>
      <c r="E2138" s="1" t="str">
        <f>"2330"</f>
        <v>2330</v>
      </c>
      <c r="F2138" s="1" t="s">
        <v>70</v>
      </c>
      <c r="G2138" s="1" t="s">
        <v>71</v>
      </c>
      <c r="H2138" s="1" t="s">
        <v>15</v>
      </c>
      <c r="I2138" s="3" t="str">
        <f>"1"</f>
        <v>1</v>
      </c>
      <c r="J2138" s="3" t="str">
        <f>"60000"</f>
        <v>60000</v>
      </c>
      <c r="K2138" s="2">
        <v>45859</v>
      </c>
      <c r="L2138" s="2">
        <v>45861</v>
      </c>
      <c r="M2138" s="1" t="s">
        <v>5625</v>
      </c>
      <c r="N2138" s="1" t="s">
        <v>5624</v>
      </c>
    </row>
    <row r="2139" spans="1:14" x14ac:dyDescent="0.35">
      <c r="A2139" s="1" t="s">
        <v>4321</v>
      </c>
      <c r="B2139" s="3" t="s">
        <v>1699</v>
      </c>
      <c r="C2139" s="1" t="s">
        <v>1818</v>
      </c>
      <c r="D2139" s="1" t="s">
        <v>5623</v>
      </c>
      <c r="E2139" s="1" t="str">
        <f>"2330"</f>
        <v>2330</v>
      </c>
      <c r="F2139" s="1" t="s">
        <v>70</v>
      </c>
      <c r="G2139" s="1" t="s">
        <v>71</v>
      </c>
      <c r="H2139" s="1" t="s">
        <v>15</v>
      </c>
      <c r="I2139" s="3" t="str">
        <f>"1"</f>
        <v>1</v>
      </c>
      <c r="J2139" s="3">
        <v>11755.06</v>
      </c>
      <c r="K2139" s="2">
        <v>45859</v>
      </c>
      <c r="L2139" s="2">
        <v>45861</v>
      </c>
      <c r="M2139" s="1" t="s">
        <v>5622</v>
      </c>
      <c r="N2139" s="1" t="s">
        <v>5621</v>
      </c>
    </row>
    <row r="2140" spans="1:14" x14ac:dyDescent="0.35">
      <c r="A2140" s="1" t="s">
        <v>4321</v>
      </c>
      <c r="B2140" s="3" t="s">
        <v>2248</v>
      </c>
      <c r="C2140" s="1" t="s">
        <v>2249</v>
      </c>
      <c r="D2140" s="1" t="s">
        <v>5620</v>
      </c>
      <c r="E2140" s="1" t="str">
        <f>"2330"</f>
        <v>2330</v>
      </c>
      <c r="F2140" s="1" t="s">
        <v>70</v>
      </c>
      <c r="G2140" s="1" t="s">
        <v>71</v>
      </c>
      <c r="H2140" s="1" t="s">
        <v>15</v>
      </c>
      <c r="I2140" s="3" t="str">
        <f>"1"</f>
        <v>1</v>
      </c>
      <c r="J2140" s="3" t="str">
        <f>"60000"</f>
        <v>60000</v>
      </c>
      <c r="K2140" s="2">
        <v>45858</v>
      </c>
      <c r="L2140" s="2">
        <v>45861</v>
      </c>
      <c r="M2140" s="1" t="s">
        <v>5619</v>
      </c>
      <c r="N2140" s="1" t="s">
        <v>5618</v>
      </c>
    </row>
    <row r="2141" spans="1:14" x14ac:dyDescent="0.35">
      <c r="A2141" s="1" t="s">
        <v>4321</v>
      </c>
      <c r="B2141" s="3" t="s">
        <v>1857</v>
      </c>
      <c r="C2141" s="1" t="s">
        <v>1869</v>
      </c>
      <c r="D2141" s="1" t="s">
        <v>5617</v>
      </c>
      <c r="E2141" s="1" t="str">
        <f>"2330"</f>
        <v>2330</v>
      </c>
      <c r="F2141" s="1" t="s">
        <v>70</v>
      </c>
      <c r="G2141" s="1" t="s">
        <v>71</v>
      </c>
      <c r="H2141" s="1" t="s">
        <v>15</v>
      </c>
      <c r="I2141" s="3" t="str">
        <f>"1"</f>
        <v>1</v>
      </c>
      <c r="J2141" s="3" t="str">
        <f>"60000"</f>
        <v>60000</v>
      </c>
      <c r="K2141" s="2">
        <v>45858</v>
      </c>
      <c r="L2141" s="2">
        <v>45861</v>
      </c>
      <c r="M2141" s="1" t="s">
        <v>4902</v>
      </c>
      <c r="N2141" s="1" t="s">
        <v>5616</v>
      </c>
    </row>
    <row r="2142" spans="1:14" x14ac:dyDescent="0.35">
      <c r="A2142" s="1" t="s">
        <v>4321</v>
      </c>
      <c r="B2142" s="3" t="s">
        <v>2000</v>
      </c>
      <c r="C2142" s="1" t="s">
        <v>2035</v>
      </c>
      <c r="D2142" s="1" t="s">
        <v>5615</v>
      </c>
      <c r="E2142" s="1" t="str">
        <f>"2330"</f>
        <v>2330</v>
      </c>
      <c r="F2142" s="1" t="s">
        <v>70</v>
      </c>
      <c r="G2142" s="1" t="s">
        <v>71</v>
      </c>
      <c r="H2142" s="1" t="s">
        <v>15</v>
      </c>
      <c r="I2142" s="3" t="str">
        <f>"1"</f>
        <v>1</v>
      </c>
      <c r="J2142" s="3">
        <v>11755.06</v>
      </c>
      <c r="K2142" s="2">
        <v>45858</v>
      </c>
      <c r="L2142" s="2">
        <v>45861</v>
      </c>
      <c r="M2142" s="1" t="s">
        <v>5614</v>
      </c>
      <c r="N2142" s="1" t="s">
        <v>5613</v>
      </c>
    </row>
    <row r="2143" spans="1:14" x14ac:dyDescent="0.35">
      <c r="A2143" s="1" t="s">
        <v>4321</v>
      </c>
      <c r="B2143" s="3" t="s">
        <v>1857</v>
      </c>
      <c r="C2143" s="1" t="s">
        <v>1922</v>
      </c>
      <c r="D2143" s="1" t="s">
        <v>5612</v>
      </c>
      <c r="E2143" s="1" t="str">
        <f>"5855"</f>
        <v>5855</v>
      </c>
      <c r="F2143" s="1" t="str">
        <f>"015531162"</f>
        <v>015531162</v>
      </c>
      <c r="G2143" s="1" t="s">
        <v>5611</v>
      </c>
      <c r="H2143" s="1" t="s">
        <v>15</v>
      </c>
      <c r="I2143" s="3" t="str">
        <f>"1"</f>
        <v>1</v>
      </c>
      <c r="J2143" s="3">
        <v>9225.27</v>
      </c>
      <c r="K2143" s="2">
        <v>45858</v>
      </c>
      <c r="L2143" s="2">
        <v>45861</v>
      </c>
      <c r="M2143" s="1" t="s">
        <v>5610</v>
      </c>
      <c r="N2143" s="1" t="s">
        <v>5609</v>
      </c>
    </row>
    <row r="2144" spans="1:14" x14ac:dyDescent="0.35">
      <c r="A2144" s="1" t="s">
        <v>4321</v>
      </c>
      <c r="B2144" s="3" t="s">
        <v>3105</v>
      </c>
      <c r="C2144" s="1" t="s">
        <v>3154</v>
      </c>
      <c r="D2144" s="1" t="s">
        <v>5608</v>
      </c>
      <c r="E2144" s="1" t="str">
        <f>"2330"</f>
        <v>2330</v>
      </c>
      <c r="F2144" s="1" t="s">
        <v>70</v>
      </c>
      <c r="G2144" s="1" t="s">
        <v>71</v>
      </c>
      <c r="H2144" s="1" t="s">
        <v>15</v>
      </c>
      <c r="I2144" s="3" t="str">
        <f>"1"</f>
        <v>1</v>
      </c>
      <c r="J2144" s="3" t="str">
        <f>"60000"</f>
        <v>60000</v>
      </c>
      <c r="K2144" s="2">
        <v>45858</v>
      </c>
      <c r="L2144" s="2">
        <v>45861</v>
      </c>
      <c r="M2144" s="1" t="s">
        <v>5607</v>
      </c>
      <c r="N2144" s="1" t="s">
        <v>5606</v>
      </c>
    </row>
    <row r="2145" spans="1:14" x14ac:dyDescent="0.35">
      <c r="A2145" s="1" t="s">
        <v>4321</v>
      </c>
      <c r="B2145" s="3" t="s">
        <v>3885</v>
      </c>
      <c r="C2145" s="1" t="s">
        <v>4022</v>
      </c>
      <c r="D2145" s="1" t="s">
        <v>5605</v>
      </c>
      <c r="E2145" s="1" t="str">
        <f>"2330"</f>
        <v>2330</v>
      </c>
      <c r="F2145" s="1" t="s">
        <v>70</v>
      </c>
      <c r="G2145" s="1" t="s">
        <v>71</v>
      </c>
      <c r="H2145" s="1" t="s">
        <v>15</v>
      </c>
      <c r="I2145" s="3" t="str">
        <f>"1"</f>
        <v>1</v>
      </c>
      <c r="J2145" s="3" t="str">
        <f>"60000"</f>
        <v>60000</v>
      </c>
      <c r="K2145" s="2">
        <v>45858</v>
      </c>
      <c r="L2145" s="2">
        <v>45861</v>
      </c>
      <c r="M2145" s="1" t="s">
        <v>5604</v>
      </c>
      <c r="N2145" s="1" t="s">
        <v>5603</v>
      </c>
    </row>
    <row r="2146" spans="1:14" x14ac:dyDescent="0.35">
      <c r="A2146" s="1" t="s">
        <v>4321</v>
      </c>
      <c r="B2146" s="3" t="s">
        <v>93</v>
      </c>
      <c r="C2146" s="1" t="s">
        <v>109</v>
      </c>
      <c r="D2146" s="1" t="s">
        <v>5602</v>
      </c>
      <c r="E2146" s="1" t="str">
        <f>"2330"</f>
        <v>2330</v>
      </c>
      <c r="F2146" s="1" t="s">
        <v>70</v>
      </c>
      <c r="G2146" s="1" t="s">
        <v>71</v>
      </c>
      <c r="H2146" s="1" t="s">
        <v>15</v>
      </c>
      <c r="I2146" s="3" t="str">
        <f>"1"</f>
        <v>1</v>
      </c>
      <c r="J2146" s="3">
        <v>11755.06</v>
      </c>
      <c r="K2146" s="2">
        <v>45857</v>
      </c>
      <c r="L2146" s="2">
        <v>45861</v>
      </c>
      <c r="M2146" s="1" t="s">
        <v>5601</v>
      </c>
      <c r="N2146" s="1" t="s">
        <v>5600</v>
      </c>
    </row>
    <row r="2147" spans="1:14" x14ac:dyDescent="0.35">
      <c r="A2147" s="1" t="s">
        <v>4321</v>
      </c>
      <c r="B2147" s="3" t="s">
        <v>93</v>
      </c>
      <c r="C2147" s="1" t="s">
        <v>4416</v>
      </c>
      <c r="D2147" s="1" t="s">
        <v>5599</v>
      </c>
      <c r="E2147" s="1" t="str">
        <f>"2330"</f>
        <v>2330</v>
      </c>
      <c r="F2147" s="1" t="s">
        <v>70</v>
      </c>
      <c r="G2147" s="1" t="s">
        <v>71</v>
      </c>
      <c r="H2147" s="1" t="s">
        <v>15</v>
      </c>
      <c r="I2147" s="3" t="str">
        <f>"1"</f>
        <v>1</v>
      </c>
      <c r="J2147" s="3" t="str">
        <f>"60000"</f>
        <v>60000</v>
      </c>
      <c r="K2147" s="2">
        <v>45857</v>
      </c>
      <c r="L2147" s="2">
        <v>45861</v>
      </c>
      <c r="M2147" s="1" t="s">
        <v>5598</v>
      </c>
      <c r="N2147" s="1" t="s">
        <v>5597</v>
      </c>
    </row>
    <row r="2148" spans="1:14" x14ac:dyDescent="0.35">
      <c r="A2148" s="1" t="s">
        <v>4321</v>
      </c>
      <c r="B2148" s="3" t="s">
        <v>601</v>
      </c>
      <c r="C2148" s="1" t="s">
        <v>5103</v>
      </c>
      <c r="D2148" s="1" t="s">
        <v>5596</v>
      </c>
      <c r="E2148" s="1" t="str">
        <f>"5855"</f>
        <v>5855</v>
      </c>
      <c r="F2148" s="1" t="str">
        <f>"015847217"</f>
        <v>015847217</v>
      </c>
      <c r="G2148" s="1" t="s">
        <v>1942</v>
      </c>
      <c r="H2148" s="1" t="s">
        <v>15</v>
      </c>
      <c r="I2148" s="3" t="str">
        <f>"1"</f>
        <v>1</v>
      </c>
      <c r="J2148" s="3" t="str">
        <f>"35674"</f>
        <v>35674</v>
      </c>
      <c r="K2148" s="2">
        <v>45857</v>
      </c>
      <c r="L2148" s="2">
        <v>45861</v>
      </c>
      <c r="M2148" s="1" t="s">
        <v>5595</v>
      </c>
      <c r="N2148" s="1" t="s">
        <v>4343</v>
      </c>
    </row>
    <row r="2149" spans="1:14" x14ac:dyDescent="0.35">
      <c r="A2149" s="1" t="s">
        <v>4321</v>
      </c>
      <c r="B2149" s="3" t="s">
        <v>3105</v>
      </c>
      <c r="C2149" s="1" t="s">
        <v>4877</v>
      </c>
      <c r="D2149" s="1" t="s">
        <v>5594</v>
      </c>
      <c r="E2149" s="1" t="str">
        <f>"2330"</f>
        <v>2330</v>
      </c>
      <c r="F2149" s="1" t="s">
        <v>70</v>
      </c>
      <c r="G2149" s="1" t="s">
        <v>71</v>
      </c>
      <c r="H2149" s="1" t="s">
        <v>15</v>
      </c>
      <c r="I2149" s="3" t="str">
        <f>"1"</f>
        <v>1</v>
      </c>
      <c r="J2149" s="3" t="str">
        <f>"60000"</f>
        <v>60000</v>
      </c>
      <c r="K2149" s="2">
        <v>45857</v>
      </c>
      <c r="L2149" s="2">
        <v>45861</v>
      </c>
      <c r="M2149" s="1" t="s">
        <v>5593</v>
      </c>
      <c r="N2149" s="1" t="s">
        <v>5592</v>
      </c>
    </row>
    <row r="2150" spans="1:14" x14ac:dyDescent="0.35">
      <c r="A2150" s="1" t="s">
        <v>4321</v>
      </c>
      <c r="B2150" s="3" t="s">
        <v>2494</v>
      </c>
      <c r="C2150" s="1" t="s">
        <v>2584</v>
      </c>
      <c r="D2150" s="1" t="s">
        <v>5591</v>
      </c>
      <c r="E2150" s="1" t="str">
        <f>"2330"</f>
        <v>2330</v>
      </c>
      <c r="F2150" s="1" t="s">
        <v>70</v>
      </c>
      <c r="G2150" s="1" t="s">
        <v>71</v>
      </c>
      <c r="H2150" s="1" t="s">
        <v>15</v>
      </c>
      <c r="I2150" s="3" t="str">
        <f>"1"</f>
        <v>1</v>
      </c>
      <c r="J2150" s="3" t="str">
        <f>"60000"</f>
        <v>60000</v>
      </c>
      <c r="K2150" s="2">
        <v>45857</v>
      </c>
      <c r="L2150" s="2">
        <v>45861</v>
      </c>
      <c r="M2150" s="1" t="s">
        <v>5590</v>
      </c>
      <c r="N2150" s="1" t="s">
        <v>5589</v>
      </c>
    </row>
    <row r="2151" spans="1:14" x14ac:dyDescent="0.35">
      <c r="A2151" s="1" t="s">
        <v>4321</v>
      </c>
      <c r="B2151" s="3" t="s">
        <v>806</v>
      </c>
      <c r="C2151" s="1" t="s">
        <v>4375</v>
      </c>
      <c r="D2151" s="1" t="s">
        <v>5588</v>
      </c>
      <c r="E2151" s="1" t="str">
        <f>"6545"</f>
        <v>6545</v>
      </c>
      <c r="F2151" s="1" t="str">
        <f>"016859951"</f>
        <v>016859951</v>
      </c>
      <c r="G2151" s="1" t="s">
        <v>1046</v>
      </c>
      <c r="H2151" s="1" t="s">
        <v>19</v>
      </c>
      <c r="I2151" s="3" t="str">
        <f>"33"</f>
        <v>33</v>
      </c>
      <c r="J2151" s="3">
        <v>320.43</v>
      </c>
      <c r="K2151" s="2">
        <v>45854</v>
      </c>
      <c r="L2151" s="2">
        <v>45861</v>
      </c>
      <c r="M2151" s="1" t="s">
        <v>5587</v>
      </c>
      <c r="N2151" s="1" t="s">
        <v>5586</v>
      </c>
    </row>
    <row r="2152" spans="1:14" x14ac:dyDescent="0.35">
      <c r="A2152" s="1" t="s">
        <v>4321</v>
      </c>
      <c r="B2152" s="3" t="s">
        <v>93</v>
      </c>
      <c r="C2152" s="1" t="s">
        <v>94</v>
      </c>
      <c r="D2152" s="1" t="s">
        <v>5585</v>
      </c>
      <c r="E2152" s="1" t="str">
        <f>"1615"</f>
        <v>1615</v>
      </c>
      <c r="F2152" s="1" t="str">
        <f>"008563919"</f>
        <v>008563919</v>
      </c>
      <c r="G2152" s="1" t="s">
        <v>5584</v>
      </c>
      <c r="H2152" s="1" t="s">
        <v>15</v>
      </c>
      <c r="I2152" s="3" t="str">
        <f>"2"</f>
        <v>2</v>
      </c>
      <c r="J2152" s="3">
        <v>761.49</v>
      </c>
      <c r="K2152" s="2">
        <v>45853</v>
      </c>
      <c r="L2152" s="2">
        <v>45861</v>
      </c>
      <c r="M2152" s="1" t="s">
        <v>5583</v>
      </c>
      <c r="N2152" s="1" t="s">
        <v>5582</v>
      </c>
    </row>
    <row r="2153" spans="1:14" x14ac:dyDescent="0.35">
      <c r="A2153" s="1" t="s">
        <v>4321</v>
      </c>
      <c r="B2153" s="3" t="s">
        <v>3183</v>
      </c>
      <c r="C2153" s="1" t="s">
        <v>3495</v>
      </c>
      <c r="D2153" s="1" t="s">
        <v>5581</v>
      </c>
      <c r="E2153" s="1" t="str">
        <f>"1240"</f>
        <v>1240</v>
      </c>
      <c r="F2153" s="1" t="s">
        <v>1461</v>
      </c>
      <c r="G2153" s="1" t="s">
        <v>1462</v>
      </c>
      <c r="H2153" s="1" t="s">
        <v>15</v>
      </c>
      <c r="I2153" s="3" t="str">
        <f>"10"</f>
        <v>10</v>
      </c>
      <c r="J2153" s="3">
        <v>434.4</v>
      </c>
      <c r="K2153" s="2">
        <v>45852</v>
      </c>
      <c r="L2153" s="2">
        <v>45861</v>
      </c>
      <c r="M2153" s="1" t="s">
        <v>5580</v>
      </c>
      <c r="N2153" s="1" t="s">
        <v>5579</v>
      </c>
    </row>
    <row r="2154" spans="1:14" x14ac:dyDescent="0.35">
      <c r="A2154" s="1" t="s">
        <v>4321</v>
      </c>
      <c r="B2154" s="3" t="s">
        <v>1857</v>
      </c>
      <c r="C2154" s="1" t="s">
        <v>1897</v>
      </c>
      <c r="D2154" s="1" t="s">
        <v>5578</v>
      </c>
      <c r="E2154" s="1" t="str">
        <f>"1240"</f>
        <v>1240</v>
      </c>
      <c r="F2154" s="1" t="s">
        <v>1461</v>
      </c>
      <c r="G2154" s="1" t="s">
        <v>1462</v>
      </c>
      <c r="H2154" s="1" t="s">
        <v>15</v>
      </c>
      <c r="I2154" s="3" t="str">
        <f>"21"</f>
        <v>21</v>
      </c>
      <c r="J2154" s="3">
        <v>434.4</v>
      </c>
      <c r="K2154" s="2">
        <v>45850</v>
      </c>
      <c r="L2154" s="2">
        <v>45861</v>
      </c>
      <c r="M2154" s="1" t="s">
        <v>1900</v>
      </c>
      <c r="N2154" s="1" t="s">
        <v>5577</v>
      </c>
    </row>
    <row r="2155" spans="1:14" x14ac:dyDescent="0.35">
      <c r="A2155" s="1" t="s">
        <v>4321</v>
      </c>
      <c r="B2155" s="3" t="s">
        <v>2145</v>
      </c>
      <c r="C2155" s="1" t="s">
        <v>2153</v>
      </c>
      <c r="D2155" s="1" t="s">
        <v>5576</v>
      </c>
      <c r="E2155" s="1" t="str">
        <f>"5965"</f>
        <v>5965</v>
      </c>
      <c r="F2155" s="1" t="str">
        <f>"226296584"</f>
        <v>226296584</v>
      </c>
      <c r="G2155" s="1" t="s">
        <v>1389</v>
      </c>
      <c r="H2155" s="1" t="s">
        <v>15</v>
      </c>
      <c r="I2155" s="3" t="str">
        <f>"22"</f>
        <v>22</v>
      </c>
      <c r="J2155" s="3">
        <v>1567.84</v>
      </c>
      <c r="K2155" s="2">
        <v>45850</v>
      </c>
      <c r="L2155" s="2">
        <v>45861</v>
      </c>
      <c r="M2155" s="1" t="s">
        <v>5575</v>
      </c>
      <c r="N2155" s="1" t="s">
        <v>5574</v>
      </c>
    </row>
    <row r="2156" spans="1:14" x14ac:dyDescent="0.35">
      <c r="A2156" s="1" t="s">
        <v>4321</v>
      </c>
      <c r="B2156" s="3" t="s">
        <v>1844</v>
      </c>
      <c r="C2156" s="1" t="s">
        <v>5573</v>
      </c>
      <c r="D2156" s="1" t="s">
        <v>5572</v>
      </c>
      <c r="E2156" s="1" t="str">
        <f>"1240"</f>
        <v>1240</v>
      </c>
      <c r="F2156" s="1" t="s">
        <v>1461</v>
      </c>
      <c r="G2156" s="1" t="s">
        <v>1462</v>
      </c>
      <c r="H2156" s="1" t="s">
        <v>15</v>
      </c>
      <c r="I2156" s="3" t="str">
        <f>"20"</f>
        <v>20</v>
      </c>
      <c r="J2156" s="3">
        <v>434.4</v>
      </c>
      <c r="K2156" s="2">
        <v>45850</v>
      </c>
      <c r="L2156" s="2">
        <v>45861</v>
      </c>
      <c r="M2156" s="1" t="s">
        <v>5571</v>
      </c>
      <c r="N2156" s="1" t="s">
        <v>5570</v>
      </c>
    </row>
    <row r="2157" spans="1:14" x14ac:dyDescent="0.35">
      <c r="A2157" s="1" t="s">
        <v>4321</v>
      </c>
      <c r="B2157" s="3" t="s">
        <v>3183</v>
      </c>
      <c r="C2157" s="1" t="s">
        <v>3321</v>
      </c>
      <c r="D2157" s="1" t="s">
        <v>5569</v>
      </c>
      <c r="E2157" s="1" t="str">
        <f>"1240"</f>
        <v>1240</v>
      </c>
      <c r="F2157" s="1" t="s">
        <v>1461</v>
      </c>
      <c r="G2157" s="1" t="s">
        <v>1462</v>
      </c>
      <c r="H2157" s="1" t="s">
        <v>15</v>
      </c>
      <c r="I2157" s="3" t="str">
        <f>"20"</f>
        <v>20</v>
      </c>
      <c r="J2157" s="3">
        <v>434.4</v>
      </c>
      <c r="K2157" s="2">
        <v>45850</v>
      </c>
      <c r="L2157" s="2">
        <v>45861</v>
      </c>
      <c r="M2157" s="1" t="s">
        <v>5568</v>
      </c>
      <c r="N2157" s="1" t="s">
        <v>5567</v>
      </c>
    </row>
    <row r="2158" spans="1:14" x14ac:dyDescent="0.35">
      <c r="A2158" s="1" t="s">
        <v>4321</v>
      </c>
      <c r="B2158" s="3" t="s">
        <v>3183</v>
      </c>
      <c r="C2158" s="1" t="s">
        <v>3364</v>
      </c>
      <c r="D2158" s="1" t="s">
        <v>5566</v>
      </c>
      <c r="E2158" s="1" t="str">
        <f>"1240"</f>
        <v>1240</v>
      </c>
      <c r="F2158" s="1" t="s">
        <v>1461</v>
      </c>
      <c r="G2158" s="1" t="s">
        <v>1462</v>
      </c>
      <c r="H2158" s="1" t="s">
        <v>15</v>
      </c>
      <c r="I2158" s="3" t="str">
        <f>"20"</f>
        <v>20</v>
      </c>
      <c r="J2158" s="3">
        <v>434.4</v>
      </c>
      <c r="K2158" s="2">
        <v>45850</v>
      </c>
      <c r="L2158" s="2">
        <v>45861</v>
      </c>
      <c r="M2158" s="1" t="s">
        <v>5565</v>
      </c>
      <c r="N2158" s="1" t="s">
        <v>5564</v>
      </c>
    </row>
    <row r="2159" spans="1:14" x14ac:dyDescent="0.35">
      <c r="A2159" s="1" t="s">
        <v>4321</v>
      </c>
      <c r="B2159" s="3" t="s">
        <v>3105</v>
      </c>
      <c r="C2159" s="1" t="s">
        <v>4877</v>
      </c>
      <c r="D2159" s="1" t="s">
        <v>5563</v>
      </c>
      <c r="E2159" s="1" t="str">
        <f>"8415"</f>
        <v>8415</v>
      </c>
      <c r="F2159" s="1" t="str">
        <f>"014646612"</f>
        <v>014646612</v>
      </c>
      <c r="G2159" s="1" t="s">
        <v>5247</v>
      </c>
      <c r="H2159" s="1" t="s">
        <v>15</v>
      </c>
      <c r="I2159" s="3" t="str">
        <f>"152"</f>
        <v>152</v>
      </c>
      <c r="J2159" s="3">
        <v>35.520000000000003</v>
      </c>
      <c r="K2159" s="2">
        <v>45850</v>
      </c>
      <c r="L2159" s="2">
        <v>45861</v>
      </c>
      <c r="M2159" s="1" t="s">
        <v>5562</v>
      </c>
      <c r="N2159" s="1" t="s">
        <v>5561</v>
      </c>
    </row>
    <row r="2160" spans="1:14" x14ac:dyDescent="0.35">
      <c r="A2160" s="1" t="s">
        <v>4321</v>
      </c>
      <c r="B2160" s="3" t="s">
        <v>93</v>
      </c>
      <c r="C2160" s="1" t="s">
        <v>390</v>
      </c>
      <c r="D2160" s="1" t="s">
        <v>5560</v>
      </c>
      <c r="E2160" s="1" t="str">
        <f>"3416"</f>
        <v>3416</v>
      </c>
      <c r="F2160" s="1" t="str">
        <f>"003879521"</f>
        <v>003879521</v>
      </c>
      <c r="G2160" s="1" t="s">
        <v>5559</v>
      </c>
      <c r="H2160" s="1" t="s">
        <v>15</v>
      </c>
      <c r="I2160" s="3" t="str">
        <f>"1"</f>
        <v>1</v>
      </c>
      <c r="J2160" s="3" t="str">
        <f>"16800"</f>
        <v>16800</v>
      </c>
      <c r="K2160" s="2">
        <v>45848</v>
      </c>
      <c r="L2160" s="2">
        <v>45861</v>
      </c>
      <c r="M2160" s="1" t="s">
        <v>5558</v>
      </c>
      <c r="N2160" s="1" t="s">
        <v>5557</v>
      </c>
    </row>
    <row r="2161" spans="1:14" x14ac:dyDescent="0.35">
      <c r="A2161" s="1" t="s">
        <v>4321</v>
      </c>
      <c r="B2161" s="3" t="s">
        <v>3183</v>
      </c>
      <c r="C2161" s="1" t="s">
        <v>3184</v>
      </c>
      <c r="D2161" s="1" t="s">
        <v>5556</v>
      </c>
      <c r="E2161" s="1" t="str">
        <f>"2310"</f>
        <v>2310</v>
      </c>
      <c r="F2161" s="1" t="s">
        <v>5555</v>
      </c>
      <c r="G2161" s="1" t="s">
        <v>5554</v>
      </c>
      <c r="H2161" s="1" t="s">
        <v>15</v>
      </c>
      <c r="I2161" s="3" t="str">
        <f>"1"</f>
        <v>1</v>
      </c>
      <c r="J2161" s="3" t="str">
        <f>"15000"</f>
        <v>15000</v>
      </c>
      <c r="K2161" s="2">
        <v>45845</v>
      </c>
      <c r="L2161" s="2">
        <v>45861</v>
      </c>
      <c r="M2161" s="1" t="s">
        <v>5553</v>
      </c>
      <c r="N2161" s="1" t="s">
        <v>5552</v>
      </c>
    </row>
    <row r="2162" spans="1:14" x14ac:dyDescent="0.35">
      <c r="A2162" s="1" t="s">
        <v>4321</v>
      </c>
      <c r="B2162" s="3" t="s">
        <v>3183</v>
      </c>
      <c r="C2162" s="1" t="s">
        <v>3495</v>
      </c>
      <c r="D2162" s="1" t="s">
        <v>5551</v>
      </c>
      <c r="E2162" s="1" t="str">
        <f>"2320"</f>
        <v>2320</v>
      </c>
      <c r="F2162" s="1" t="str">
        <f>"014473893"</f>
        <v>014473893</v>
      </c>
      <c r="G2162" s="1" t="s">
        <v>1820</v>
      </c>
      <c r="H2162" s="1" t="s">
        <v>15</v>
      </c>
      <c r="I2162" s="3" t="str">
        <f>"1"</f>
        <v>1</v>
      </c>
      <c r="J2162" s="3" t="str">
        <f>"167746"</f>
        <v>167746</v>
      </c>
      <c r="K2162" s="2">
        <v>45844</v>
      </c>
      <c r="L2162" s="2">
        <v>45861</v>
      </c>
      <c r="M2162" s="1" t="s">
        <v>5550</v>
      </c>
      <c r="N2162" s="1" t="s">
        <v>5549</v>
      </c>
    </row>
    <row r="2163" spans="1:14" x14ac:dyDescent="0.35">
      <c r="A2163" s="1" t="s">
        <v>4321</v>
      </c>
      <c r="B2163" s="3" t="s">
        <v>2720</v>
      </c>
      <c r="C2163" s="1" t="s">
        <v>5548</v>
      </c>
      <c r="D2163" s="1" t="s">
        <v>5547</v>
      </c>
      <c r="E2163" s="1" t="str">
        <f>"2320"</f>
        <v>2320</v>
      </c>
      <c r="F2163" s="1" t="str">
        <f>"016271386"</f>
        <v>016271386</v>
      </c>
      <c r="G2163" s="1" t="s">
        <v>604</v>
      </c>
      <c r="H2163" s="1" t="s">
        <v>15</v>
      </c>
      <c r="I2163" s="3" t="str">
        <f>"1"</f>
        <v>1</v>
      </c>
      <c r="J2163" s="3" t="str">
        <f>"321959"</f>
        <v>321959</v>
      </c>
      <c r="K2163" s="2">
        <v>45822</v>
      </c>
      <c r="L2163" s="2">
        <v>45861</v>
      </c>
      <c r="M2163" s="1" t="s">
        <v>5546</v>
      </c>
      <c r="N2163" s="1" t="s">
        <v>5545</v>
      </c>
    </row>
    <row r="2164" spans="1:14" x14ac:dyDescent="0.35">
      <c r="A2164" s="1" t="s">
        <v>4321</v>
      </c>
      <c r="B2164" s="3" t="s">
        <v>806</v>
      </c>
      <c r="C2164" s="1" t="s">
        <v>5544</v>
      </c>
      <c r="D2164" s="1" t="s">
        <v>5543</v>
      </c>
      <c r="E2164" s="1" t="str">
        <f>"7035"</f>
        <v>7035</v>
      </c>
      <c r="F2164" s="1" t="s">
        <v>3836</v>
      </c>
      <c r="G2164" s="1" t="s">
        <v>3837</v>
      </c>
      <c r="H2164" s="1" t="s">
        <v>15</v>
      </c>
      <c r="I2164" s="3" t="str">
        <f>"1"</f>
        <v>1</v>
      </c>
      <c r="J2164" s="3">
        <v>9612.1200000000008</v>
      </c>
      <c r="K2164" s="2">
        <v>45822</v>
      </c>
      <c r="L2164" s="2">
        <v>45861</v>
      </c>
      <c r="M2164" s="1" t="s">
        <v>5542</v>
      </c>
      <c r="N2164" s="1" t="s">
        <v>5541</v>
      </c>
    </row>
    <row r="2165" spans="1:14" x14ac:dyDescent="0.35">
      <c r="A2165" s="1" t="s">
        <v>4321</v>
      </c>
      <c r="B2165" s="3" t="s">
        <v>1977</v>
      </c>
      <c r="C2165" s="1" t="s">
        <v>5540</v>
      </c>
      <c r="D2165" s="1" t="s">
        <v>5539</v>
      </c>
      <c r="E2165" s="1" t="str">
        <f>"5140"</f>
        <v>5140</v>
      </c>
      <c r="F2165" s="1" t="str">
        <f>"014797834"</f>
        <v>014797834</v>
      </c>
      <c r="G2165" s="1" t="s">
        <v>358</v>
      </c>
      <c r="H2165" s="1" t="s">
        <v>15</v>
      </c>
      <c r="I2165" s="3" t="str">
        <f>"1"</f>
        <v>1</v>
      </c>
      <c r="J2165" s="3">
        <v>658.61</v>
      </c>
      <c r="K2165" s="2">
        <v>45800</v>
      </c>
      <c r="L2165" s="2">
        <v>45861</v>
      </c>
      <c r="M2165" s="1" t="s">
        <v>5538</v>
      </c>
      <c r="N2165" s="1" t="s">
        <v>5537</v>
      </c>
    </row>
    <row r="2166" spans="1:14" x14ac:dyDescent="0.35">
      <c r="A2166" s="1" t="s">
        <v>4321</v>
      </c>
      <c r="B2166" s="3" t="s">
        <v>3513</v>
      </c>
      <c r="C2166" s="1" t="s">
        <v>5536</v>
      </c>
      <c r="D2166" s="1" t="s">
        <v>5535</v>
      </c>
      <c r="E2166" s="1" t="str">
        <f>"5855"</f>
        <v>5855</v>
      </c>
      <c r="F2166" s="1" t="str">
        <f>"015790062"</f>
        <v>015790062</v>
      </c>
      <c r="G2166" s="1" t="s">
        <v>703</v>
      </c>
      <c r="H2166" s="1" t="s">
        <v>15</v>
      </c>
      <c r="I2166" s="3" t="str">
        <f>"25"</f>
        <v>25</v>
      </c>
      <c r="J2166" s="3" t="str">
        <f>"906"</f>
        <v>906</v>
      </c>
      <c r="K2166" s="2">
        <v>45860</v>
      </c>
      <c r="L2166" s="2">
        <v>45860</v>
      </c>
      <c r="M2166" s="1" t="s">
        <v>5534</v>
      </c>
      <c r="N2166" s="1" t="s">
        <v>4387</v>
      </c>
    </row>
    <row r="2167" spans="1:14" x14ac:dyDescent="0.35">
      <c r="A2167" s="1" t="s">
        <v>4321</v>
      </c>
      <c r="B2167" s="3" t="s">
        <v>93</v>
      </c>
      <c r="C2167" s="1" t="s">
        <v>203</v>
      </c>
      <c r="D2167" s="1" t="s">
        <v>5533</v>
      </c>
      <c r="E2167" s="1" t="str">
        <f>"2340"</f>
        <v>2340</v>
      </c>
      <c r="F2167" s="1" t="s">
        <v>2003</v>
      </c>
      <c r="G2167" s="1" t="s">
        <v>2004</v>
      </c>
      <c r="H2167" s="1" t="s">
        <v>15</v>
      </c>
      <c r="I2167" s="3" t="str">
        <f>"1"</f>
        <v>1</v>
      </c>
      <c r="J2167" s="3" t="str">
        <f>"17000"</f>
        <v>17000</v>
      </c>
      <c r="K2167" s="2">
        <v>45859</v>
      </c>
      <c r="L2167" s="2">
        <v>45860</v>
      </c>
      <c r="M2167" s="1" t="s">
        <v>5532</v>
      </c>
      <c r="N2167" s="1" t="s">
        <v>5531</v>
      </c>
    </row>
    <row r="2168" spans="1:14" x14ac:dyDescent="0.35">
      <c r="A2168" s="1" t="s">
        <v>4321</v>
      </c>
      <c r="B2168" s="3" t="s">
        <v>3183</v>
      </c>
      <c r="C2168" s="1" t="s">
        <v>3233</v>
      </c>
      <c r="D2168" s="1" t="s">
        <v>5530</v>
      </c>
      <c r="E2168" s="1" t="str">
        <f>"2340"</f>
        <v>2340</v>
      </c>
      <c r="F2168" s="1" t="s">
        <v>2003</v>
      </c>
      <c r="G2168" s="1" t="s">
        <v>2004</v>
      </c>
      <c r="H2168" s="1" t="s">
        <v>15</v>
      </c>
      <c r="I2168" s="3" t="str">
        <f>"1"</f>
        <v>1</v>
      </c>
      <c r="J2168" s="3" t="str">
        <f>"17000"</f>
        <v>17000</v>
      </c>
      <c r="K2168" s="2">
        <v>45859</v>
      </c>
      <c r="L2168" s="2">
        <v>45860</v>
      </c>
      <c r="M2168" s="1" t="s">
        <v>5529</v>
      </c>
      <c r="N2168" s="1" t="s">
        <v>5528</v>
      </c>
    </row>
    <row r="2169" spans="1:14" x14ac:dyDescent="0.35">
      <c r="A2169" s="1" t="s">
        <v>4321</v>
      </c>
      <c r="B2169" s="3" t="s">
        <v>3105</v>
      </c>
      <c r="C2169" s="1" t="s">
        <v>3129</v>
      </c>
      <c r="D2169" s="1" t="s">
        <v>5527</v>
      </c>
      <c r="E2169" s="1" t="str">
        <f>"2340"</f>
        <v>2340</v>
      </c>
      <c r="F2169" s="1" t="s">
        <v>2003</v>
      </c>
      <c r="G2169" s="1" t="s">
        <v>2004</v>
      </c>
      <c r="H2169" s="1" t="s">
        <v>15</v>
      </c>
      <c r="I2169" s="3" t="str">
        <f>"1"</f>
        <v>1</v>
      </c>
      <c r="J2169" s="3" t="str">
        <f>"17000"</f>
        <v>17000</v>
      </c>
      <c r="K2169" s="2">
        <v>45859</v>
      </c>
      <c r="L2169" s="2">
        <v>45860</v>
      </c>
      <c r="M2169" s="1" t="s">
        <v>5526</v>
      </c>
      <c r="N2169" s="1" t="s">
        <v>4343</v>
      </c>
    </row>
    <row r="2170" spans="1:14" x14ac:dyDescent="0.35">
      <c r="A2170" s="1" t="s">
        <v>4321</v>
      </c>
      <c r="B2170" s="3" t="s">
        <v>2145</v>
      </c>
      <c r="C2170" s="1" t="s">
        <v>2153</v>
      </c>
      <c r="D2170" s="1" t="s">
        <v>5525</v>
      </c>
      <c r="E2170" s="1" t="str">
        <f>"6545"</f>
        <v>6545</v>
      </c>
      <c r="F2170" s="1" t="str">
        <f>"016899365"</f>
        <v>016899365</v>
      </c>
      <c r="G2170" s="1" t="s">
        <v>3594</v>
      </c>
      <c r="H2170" s="1" t="s">
        <v>19</v>
      </c>
      <c r="I2170" s="3" t="str">
        <f>"11"</f>
        <v>11</v>
      </c>
      <c r="J2170" s="3">
        <v>4900.5200000000004</v>
      </c>
      <c r="K2170" s="2">
        <v>45859</v>
      </c>
      <c r="L2170" s="2">
        <v>45860</v>
      </c>
      <c r="M2170" s="1" t="s">
        <v>5524</v>
      </c>
      <c r="N2170" s="1" t="s">
        <v>5523</v>
      </c>
    </row>
    <row r="2171" spans="1:14" x14ac:dyDescent="0.35">
      <c r="A2171" s="1" t="s">
        <v>4321</v>
      </c>
      <c r="B2171" s="3" t="s">
        <v>3183</v>
      </c>
      <c r="C2171" s="1" t="s">
        <v>3376</v>
      </c>
      <c r="D2171" s="1" t="s">
        <v>5522</v>
      </c>
      <c r="E2171" s="1" t="str">
        <f>"8465"</f>
        <v>8465</v>
      </c>
      <c r="F2171" s="1" t="str">
        <f>"016982343"</f>
        <v>016982343</v>
      </c>
      <c r="G2171" s="1" t="s">
        <v>5521</v>
      </c>
      <c r="H2171" s="1" t="s">
        <v>19</v>
      </c>
      <c r="I2171" s="3" t="str">
        <f>"10"</f>
        <v>10</v>
      </c>
      <c r="J2171" s="3">
        <v>207.3</v>
      </c>
      <c r="K2171" s="2">
        <v>45859</v>
      </c>
      <c r="L2171" s="2">
        <v>45860</v>
      </c>
      <c r="M2171" s="1" t="s">
        <v>5520</v>
      </c>
      <c r="N2171" s="1" t="s">
        <v>4343</v>
      </c>
    </row>
    <row r="2172" spans="1:14" x14ac:dyDescent="0.35">
      <c r="A2172" s="1" t="s">
        <v>4321</v>
      </c>
      <c r="B2172" s="3" t="s">
        <v>4253</v>
      </c>
      <c r="C2172" s="1" t="s">
        <v>4254</v>
      </c>
      <c r="D2172" s="1" t="s">
        <v>5519</v>
      </c>
      <c r="E2172" s="1" t="str">
        <f>"2340"</f>
        <v>2340</v>
      </c>
      <c r="F2172" s="1" t="s">
        <v>2003</v>
      </c>
      <c r="G2172" s="1" t="s">
        <v>2004</v>
      </c>
      <c r="H2172" s="1" t="s">
        <v>15</v>
      </c>
      <c r="I2172" s="3" t="str">
        <f>"1"</f>
        <v>1</v>
      </c>
      <c r="J2172" s="3" t="str">
        <f>"17000"</f>
        <v>17000</v>
      </c>
      <c r="K2172" s="2">
        <v>45858</v>
      </c>
      <c r="L2172" s="2">
        <v>45860</v>
      </c>
      <c r="M2172" s="1" t="s">
        <v>5518</v>
      </c>
      <c r="N2172" s="1" t="s">
        <v>5517</v>
      </c>
    </row>
    <row r="2173" spans="1:14" x14ac:dyDescent="0.35">
      <c r="A2173" s="1" t="s">
        <v>4321</v>
      </c>
      <c r="B2173" s="3" t="s">
        <v>1992</v>
      </c>
      <c r="C2173" s="1" t="s">
        <v>1993</v>
      </c>
      <c r="D2173" s="1" t="s">
        <v>5516</v>
      </c>
      <c r="E2173" s="1" t="str">
        <f>"2340"</f>
        <v>2340</v>
      </c>
      <c r="F2173" s="1" t="s">
        <v>2003</v>
      </c>
      <c r="G2173" s="1" t="s">
        <v>2004</v>
      </c>
      <c r="H2173" s="1" t="s">
        <v>15</v>
      </c>
      <c r="I2173" s="3" t="str">
        <f>"1"</f>
        <v>1</v>
      </c>
      <c r="J2173" s="3" t="str">
        <f>"17000"</f>
        <v>17000</v>
      </c>
      <c r="K2173" s="2">
        <v>45858</v>
      </c>
      <c r="L2173" s="2">
        <v>45860</v>
      </c>
      <c r="M2173" s="1" t="s">
        <v>5515</v>
      </c>
      <c r="N2173" s="1" t="s">
        <v>4343</v>
      </c>
    </row>
    <row r="2174" spans="1:14" x14ac:dyDescent="0.35">
      <c r="A2174" s="1" t="s">
        <v>4321</v>
      </c>
      <c r="B2174" s="3" t="s">
        <v>3105</v>
      </c>
      <c r="C2174" s="1" t="s">
        <v>3141</v>
      </c>
      <c r="D2174" s="1" t="s">
        <v>5514</v>
      </c>
      <c r="E2174" s="1" t="str">
        <f>"2340"</f>
        <v>2340</v>
      </c>
      <c r="F2174" s="1" t="s">
        <v>2003</v>
      </c>
      <c r="G2174" s="1" t="s">
        <v>2004</v>
      </c>
      <c r="H2174" s="1" t="s">
        <v>15</v>
      </c>
      <c r="I2174" s="3" t="str">
        <f>"1"</f>
        <v>1</v>
      </c>
      <c r="J2174" s="3" t="str">
        <f>"17000"</f>
        <v>17000</v>
      </c>
      <c r="K2174" s="2">
        <v>45858</v>
      </c>
      <c r="L2174" s="2">
        <v>45860</v>
      </c>
      <c r="M2174" s="1" t="s">
        <v>5513</v>
      </c>
      <c r="N2174" s="1" t="s">
        <v>5512</v>
      </c>
    </row>
    <row r="2175" spans="1:14" x14ac:dyDescent="0.35">
      <c r="A2175" s="1" t="s">
        <v>4321</v>
      </c>
      <c r="B2175" s="3" t="s">
        <v>2494</v>
      </c>
      <c r="C2175" s="1" t="s">
        <v>2600</v>
      </c>
      <c r="D2175" s="1" t="s">
        <v>5511</v>
      </c>
      <c r="E2175" s="1" t="str">
        <f>"6545"</f>
        <v>6545</v>
      </c>
      <c r="F2175" s="1" t="str">
        <f>"016899365"</f>
        <v>016899365</v>
      </c>
      <c r="G2175" s="1" t="s">
        <v>3594</v>
      </c>
      <c r="H2175" s="1" t="s">
        <v>19</v>
      </c>
      <c r="I2175" s="3" t="str">
        <f>"11"</f>
        <v>11</v>
      </c>
      <c r="J2175" s="3">
        <v>4900.5200000000004</v>
      </c>
      <c r="K2175" s="2">
        <v>45858</v>
      </c>
      <c r="L2175" s="2">
        <v>45860</v>
      </c>
      <c r="M2175" s="1" t="s">
        <v>5510</v>
      </c>
      <c r="N2175" s="1" t="s">
        <v>5509</v>
      </c>
    </row>
    <row r="2176" spans="1:14" x14ac:dyDescent="0.35">
      <c r="A2176" s="1" t="s">
        <v>4321</v>
      </c>
      <c r="B2176" s="3" t="s">
        <v>2145</v>
      </c>
      <c r="C2176" s="1" t="s">
        <v>2213</v>
      </c>
      <c r="D2176" s="1" t="s">
        <v>5508</v>
      </c>
      <c r="E2176" s="1" t="str">
        <f>"5965"</f>
        <v>5965</v>
      </c>
      <c r="F2176" s="1" t="str">
        <f>"016488042"</f>
        <v>016488042</v>
      </c>
      <c r="G2176" s="1" t="s">
        <v>1389</v>
      </c>
      <c r="H2176" s="1" t="s">
        <v>15</v>
      </c>
      <c r="I2176" s="3" t="str">
        <f>"2"</f>
        <v>2</v>
      </c>
      <c r="J2176" s="3">
        <v>593.34</v>
      </c>
      <c r="K2176" s="2">
        <v>45856</v>
      </c>
      <c r="L2176" s="2">
        <v>45860</v>
      </c>
      <c r="M2176" s="1" t="s">
        <v>5507</v>
      </c>
      <c r="N2176" s="1" t="s">
        <v>5506</v>
      </c>
    </row>
    <row r="2177" spans="1:14" x14ac:dyDescent="0.35">
      <c r="A2177" s="1" t="s">
        <v>4321</v>
      </c>
      <c r="B2177" s="3" t="s">
        <v>93</v>
      </c>
      <c r="C2177" s="1" t="s">
        <v>109</v>
      </c>
      <c r="D2177" s="1" t="s">
        <v>5505</v>
      </c>
      <c r="E2177" s="1" t="str">
        <f>"2320"</f>
        <v>2320</v>
      </c>
      <c r="F2177" s="1" t="s">
        <v>274</v>
      </c>
      <c r="G2177" s="1" t="s">
        <v>275</v>
      </c>
      <c r="H2177" s="1" t="s">
        <v>15</v>
      </c>
      <c r="I2177" s="3" t="str">
        <f>"1"</f>
        <v>1</v>
      </c>
      <c r="J2177" s="3" t="str">
        <f>"10000"</f>
        <v>10000</v>
      </c>
      <c r="K2177" s="2">
        <v>45854</v>
      </c>
      <c r="L2177" s="2">
        <v>45860</v>
      </c>
      <c r="M2177" s="1" t="s">
        <v>5504</v>
      </c>
      <c r="N2177" s="1" t="s">
        <v>5503</v>
      </c>
    </row>
    <row r="2178" spans="1:14" x14ac:dyDescent="0.35">
      <c r="A2178" s="1" t="s">
        <v>4321</v>
      </c>
      <c r="B2178" s="3" t="s">
        <v>2248</v>
      </c>
      <c r="C2178" s="1" t="s">
        <v>2311</v>
      </c>
      <c r="D2178" s="1" t="s">
        <v>5502</v>
      </c>
      <c r="E2178" s="1" t="str">
        <f>"5140"</f>
        <v>5140</v>
      </c>
      <c r="F2178" s="1" t="s">
        <v>5501</v>
      </c>
      <c r="G2178" s="1" t="s">
        <v>5500</v>
      </c>
      <c r="H2178" s="1" t="s">
        <v>15</v>
      </c>
      <c r="I2178" s="3" t="str">
        <f>"2"</f>
        <v>2</v>
      </c>
      <c r="J2178" s="3" t="str">
        <f>"500"</f>
        <v>500</v>
      </c>
      <c r="K2178" s="2">
        <v>45848</v>
      </c>
      <c r="L2178" s="2">
        <v>45860</v>
      </c>
      <c r="M2178" s="1" t="s">
        <v>5499</v>
      </c>
      <c r="N2178" s="1" t="s">
        <v>5498</v>
      </c>
    </row>
    <row r="2179" spans="1:14" x14ac:dyDescent="0.35">
      <c r="A2179" s="1" t="s">
        <v>4321</v>
      </c>
      <c r="B2179" s="3" t="s">
        <v>1445</v>
      </c>
      <c r="C2179" s="1" t="s">
        <v>1459</v>
      </c>
      <c r="D2179" s="1" t="s">
        <v>5497</v>
      </c>
      <c r="E2179" s="1" t="str">
        <f>"6720"</f>
        <v>6720</v>
      </c>
      <c r="F2179" s="1" t="s">
        <v>443</v>
      </c>
      <c r="G2179" s="1" t="s">
        <v>444</v>
      </c>
      <c r="H2179" s="1" t="s">
        <v>15</v>
      </c>
      <c r="I2179" s="3" t="str">
        <f>"1"</f>
        <v>1</v>
      </c>
      <c r="J2179" s="3" t="str">
        <f>"200"</f>
        <v>200</v>
      </c>
      <c r="K2179" s="2">
        <v>45847</v>
      </c>
      <c r="L2179" s="2">
        <v>45860</v>
      </c>
      <c r="M2179" s="1" t="s">
        <v>1553</v>
      </c>
      <c r="N2179" s="1" t="s">
        <v>5496</v>
      </c>
    </row>
    <row r="2180" spans="1:14" x14ac:dyDescent="0.35">
      <c r="A2180" s="1" t="s">
        <v>4321</v>
      </c>
      <c r="B2180" s="3" t="s">
        <v>806</v>
      </c>
      <c r="C2180" s="1" t="s">
        <v>1079</v>
      </c>
      <c r="D2180" s="1" t="s">
        <v>5495</v>
      </c>
      <c r="E2180" s="1" t="str">
        <f>"4140"</f>
        <v>4140</v>
      </c>
      <c r="F2180" s="1" t="s">
        <v>333</v>
      </c>
      <c r="G2180" s="1" t="s">
        <v>334</v>
      </c>
      <c r="H2180" s="1" t="s">
        <v>15</v>
      </c>
      <c r="I2180" s="3" t="str">
        <f>"10"</f>
        <v>10</v>
      </c>
      <c r="J2180" s="3">
        <v>69.430000000000007</v>
      </c>
      <c r="K2180" s="2">
        <v>45847</v>
      </c>
      <c r="L2180" s="2">
        <v>45860</v>
      </c>
      <c r="M2180" s="1" t="s">
        <v>5494</v>
      </c>
      <c r="N2180" s="1" t="s">
        <v>5493</v>
      </c>
    </row>
    <row r="2181" spans="1:14" x14ac:dyDescent="0.35">
      <c r="A2181" s="1" t="s">
        <v>4321</v>
      </c>
      <c r="B2181" s="3" t="s">
        <v>2248</v>
      </c>
      <c r="C2181" s="1" t="s">
        <v>2278</v>
      </c>
      <c r="D2181" s="1" t="s">
        <v>5492</v>
      </c>
      <c r="E2181" s="1" t="str">
        <f>"7125"</f>
        <v>7125</v>
      </c>
      <c r="F2181" s="1" t="s">
        <v>427</v>
      </c>
      <c r="G2181" s="1" t="s">
        <v>428</v>
      </c>
      <c r="H2181" s="1" t="s">
        <v>15</v>
      </c>
      <c r="I2181" s="3" t="str">
        <f>"1"</f>
        <v>1</v>
      </c>
      <c r="J2181" s="3" t="str">
        <f>"600"</f>
        <v>600</v>
      </c>
      <c r="K2181" s="2">
        <v>45846</v>
      </c>
      <c r="L2181" s="2">
        <v>45860</v>
      </c>
      <c r="M2181" s="1" t="s">
        <v>2305</v>
      </c>
      <c r="N2181" s="1" t="s">
        <v>5491</v>
      </c>
    </row>
    <row r="2182" spans="1:14" x14ac:dyDescent="0.35">
      <c r="A2182" s="1" t="s">
        <v>4321</v>
      </c>
      <c r="B2182" s="3" t="s">
        <v>2248</v>
      </c>
      <c r="C2182" s="1" t="s">
        <v>2278</v>
      </c>
      <c r="D2182" s="1" t="s">
        <v>5490</v>
      </c>
      <c r="E2182" s="1" t="str">
        <f>"7125"</f>
        <v>7125</v>
      </c>
      <c r="F2182" s="1" t="s">
        <v>427</v>
      </c>
      <c r="G2182" s="1" t="s">
        <v>428</v>
      </c>
      <c r="H2182" s="1" t="s">
        <v>15</v>
      </c>
      <c r="I2182" s="3" t="str">
        <f>"1"</f>
        <v>1</v>
      </c>
      <c r="J2182" s="3" t="str">
        <f>"600"</f>
        <v>600</v>
      </c>
      <c r="K2182" s="2">
        <v>45846</v>
      </c>
      <c r="L2182" s="2">
        <v>45860</v>
      </c>
      <c r="M2182" s="1" t="s">
        <v>2305</v>
      </c>
      <c r="N2182" s="1" t="s">
        <v>5489</v>
      </c>
    </row>
    <row r="2183" spans="1:14" x14ac:dyDescent="0.35">
      <c r="A2183" s="1" t="s">
        <v>4321</v>
      </c>
      <c r="B2183" s="3" t="s">
        <v>2248</v>
      </c>
      <c r="C2183" s="1" t="s">
        <v>2278</v>
      </c>
      <c r="D2183" s="1" t="s">
        <v>5488</v>
      </c>
      <c r="E2183" s="1" t="str">
        <f>"7125"</f>
        <v>7125</v>
      </c>
      <c r="F2183" s="1" t="s">
        <v>427</v>
      </c>
      <c r="G2183" s="1" t="s">
        <v>428</v>
      </c>
      <c r="H2183" s="1" t="s">
        <v>15</v>
      </c>
      <c r="I2183" s="3" t="str">
        <f>"5"</f>
        <v>5</v>
      </c>
      <c r="J2183" s="3" t="str">
        <f>"600"</f>
        <v>600</v>
      </c>
      <c r="K2183" s="2">
        <v>45846</v>
      </c>
      <c r="L2183" s="2">
        <v>45860</v>
      </c>
      <c r="M2183" s="1" t="s">
        <v>2305</v>
      </c>
      <c r="N2183" s="1" t="s">
        <v>5487</v>
      </c>
    </row>
    <row r="2184" spans="1:14" x14ac:dyDescent="0.35">
      <c r="A2184" s="1" t="s">
        <v>4321</v>
      </c>
      <c r="B2184" s="3" t="s">
        <v>3183</v>
      </c>
      <c r="C2184" s="1" t="s">
        <v>3184</v>
      </c>
      <c r="D2184" s="1" t="s">
        <v>5486</v>
      </c>
      <c r="E2184" s="1" t="str">
        <f>"2410"</f>
        <v>2410</v>
      </c>
      <c r="F2184" s="1" t="str">
        <f>"001776851"</f>
        <v>001776851</v>
      </c>
      <c r="G2184" s="1" t="s">
        <v>2233</v>
      </c>
      <c r="H2184" s="1" t="s">
        <v>15</v>
      </c>
      <c r="I2184" s="3" t="str">
        <f>"1"</f>
        <v>1</v>
      </c>
      <c r="J2184" s="3" t="str">
        <f>"158799"</f>
        <v>158799</v>
      </c>
      <c r="K2184" s="2">
        <v>45836</v>
      </c>
      <c r="L2184" s="2">
        <v>45860</v>
      </c>
      <c r="M2184" s="1" t="s">
        <v>5485</v>
      </c>
      <c r="N2184" s="1" t="s">
        <v>5484</v>
      </c>
    </row>
    <row r="2185" spans="1:14" x14ac:dyDescent="0.35">
      <c r="A2185" s="1" t="s">
        <v>4321</v>
      </c>
      <c r="B2185" s="3" t="s">
        <v>93</v>
      </c>
      <c r="C2185" s="1" t="s">
        <v>203</v>
      </c>
      <c r="D2185" s="1" t="s">
        <v>5483</v>
      </c>
      <c r="E2185" s="1" t="str">
        <f>"4020"</f>
        <v>4020</v>
      </c>
      <c r="F2185" s="1" t="str">
        <f>"002460688"</f>
        <v>002460688</v>
      </c>
      <c r="G2185" s="1" t="s">
        <v>5472</v>
      </c>
      <c r="H2185" s="1" t="s">
        <v>5471</v>
      </c>
      <c r="I2185" s="3" t="str">
        <f>"1"</f>
        <v>1</v>
      </c>
      <c r="J2185" s="3">
        <v>106.84</v>
      </c>
      <c r="K2185" s="2">
        <v>45859</v>
      </c>
      <c r="L2185" s="2">
        <v>45859</v>
      </c>
      <c r="M2185" s="1" t="s">
        <v>5482</v>
      </c>
      <c r="N2185" s="1" t="s">
        <v>4343</v>
      </c>
    </row>
    <row r="2186" spans="1:14" x14ac:dyDescent="0.35">
      <c r="A2186" s="1" t="s">
        <v>4321</v>
      </c>
      <c r="B2186" s="3" t="s">
        <v>2000</v>
      </c>
      <c r="C2186" s="1" t="s">
        <v>2048</v>
      </c>
      <c r="D2186" s="1" t="s">
        <v>5481</v>
      </c>
      <c r="E2186" s="1" t="str">
        <f>"6720"</f>
        <v>6720</v>
      </c>
      <c r="F2186" s="1" t="s">
        <v>443</v>
      </c>
      <c r="G2186" s="1" t="s">
        <v>444</v>
      </c>
      <c r="H2186" s="1" t="s">
        <v>15</v>
      </c>
      <c r="I2186" s="3" t="str">
        <f>"2"</f>
        <v>2</v>
      </c>
      <c r="J2186" s="3" t="str">
        <f>"4200"</f>
        <v>4200</v>
      </c>
      <c r="K2186" s="2">
        <v>45859</v>
      </c>
      <c r="L2186" s="2">
        <v>45859</v>
      </c>
      <c r="M2186" s="1" t="s">
        <v>5480</v>
      </c>
      <c r="N2186" s="1" t="s">
        <v>5479</v>
      </c>
    </row>
    <row r="2187" spans="1:14" x14ac:dyDescent="0.35">
      <c r="A2187" s="1" t="s">
        <v>4321</v>
      </c>
      <c r="B2187" s="3" t="s">
        <v>2000</v>
      </c>
      <c r="C2187" s="1" t="s">
        <v>2048</v>
      </c>
      <c r="D2187" s="1" t="s">
        <v>5481</v>
      </c>
      <c r="E2187" s="1" t="str">
        <f>"6720"</f>
        <v>6720</v>
      </c>
      <c r="F2187" s="1" t="s">
        <v>443</v>
      </c>
      <c r="G2187" s="1" t="s">
        <v>444</v>
      </c>
      <c r="H2187" s="1" t="s">
        <v>15</v>
      </c>
      <c r="I2187" s="3" t="str">
        <f>"2"</f>
        <v>2</v>
      </c>
      <c r="J2187" s="3" t="str">
        <f>"4200"</f>
        <v>4200</v>
      </c>
      <c r="K2187" s="2">
        <v>45859</v>
      </c>
      <c r="L2187" s="2">
        <v>45859</v>
      </c>
      <c r="M2187" s="1" t="s">
        <v>5480</v>
      </c>
      <c r="N2187" s="1" t="s">
        <v>5479</v>
      </c>
    </row>
    <row r="2188" spans="1:14" x14ac:dyDescent="0.35">
      <c r="A2188" s="1" t="s">
        <v>4321</v>
      </c>
      <c r="B2188" s="3" t="s">
        <v>5157</v>
      </c>
      <c r="C2188" s="1" t="s">
        <v>5156</v>
      </c>
      <c r="D2188" s="1" t="s">
        <v>5478</v>
      </c>
      <c r="E2188" s="1" t="str">
        <f>"6545"</f>
        <v>6545</v>
      </c>
      <c r="F2188" s="1" t="str">
        <f>"016899365"</f>
        <v>016899365</v>
      </c>
      <c r="G2188" s="1" t="s">
        <v>3594</v>
      </c>
      <c r="H2188" s="1" t="s">
        <v>19</v>
      </c>
      <c r="I2188" s="3" t="str">
        <f>"4"</f>
        <v>4</v>
      </c>
      <c r="J2188" s="3">
        <v>4900.5200000000004</v>
      </c>
      <c r="K2188" s="2">
        <v>45859</v>
      </c>
      <c r="L2188" s="2">
        <v>45859</v>
      </c>
      <c r="M2188" s="1" t="s">
        <v>5477</v>
      </c>
      <c r="N2188" s="1" t="s">
        <v>4343</v>
      </c>
    </row>
    <row r="2189" spans="1:14" x14ac:dyDescent="0.35">
      <c r="A2189" s="1" t="s">
        <v>4321</v>
      </c>
      <c r="B2189" s="3" t="s">
        <v>93</v>
      </c>
      <c r="C2189" s="1" t="s">
        <v>109</v>
      </c>
      <c r="D2189" s="1" t="s">
        <v>5476</v>
      </c>
      <c r="E2189" s="1" t="str">
        <f>"2320"</f>
        <v>2320</v>
      </c>
      <c r="F2189" s="1" t="str">
        <f>"007529812"</f>
        <v>007529812</v>
      </c>
      <c r="G2189" s="1" t="s">
        <v>1799</v>
      </c>
      <c r="H2189" s="1" t="s">
        <v>15</v>
      </c>
      <c r="I2189" s="3" t="str">
        <f>"1"</f>
        <v>1</v>
      </c>
      <c r="J2189" s="3" t="str">
        <f>"21046"</f>
        <v>21046</v>
      </c>
      <c r="K2189" s="2">
        <v>45857</v>
      </c>
      <c r="L2189" s="2">
        <v>45859</v>
      </c>
      <c r="M2189" s="1" t="s">
        <v>5475</v>
      </c>
      <c r="N2189" s="1" t="s">
        <v>5474</v>
      </c>
    </row>
    <row r="2190" spans="1:14" x14ac:dyDescent="0.35">
      <c r="A2190" s="1" t="s">
        <v>4321</v>
      </c>
      <c r="B2190" s="3" t="s">
        <v>93</v>
      </c>
      <c r="C2190" s="1" t="s">
        <v>109</v>
      </c>
      <c r="D2190" s="1" t="s">
        <v>5476</v>
      </c>
      <c r="E2190" s="1" t="str">
        <f>"2320"</f>
        <v>2320</v>
      </c>
      <c r="F2190" s="1" t="str">
        <f>"007529812"</f>
        <v>007529812</v>
      </c>
      <c r="G2190" s="1" t="s">
        <v>1799</v>
      </c>
      <c r="H2190" s="1" t="s">
        <v>15</v>
      </c>
      <c r="I2190" s="3" t="str">
        <f>"1"</f>
        <v>1</v>
      </c>
      <c r="J2190" s="3" t="str">
        <f>"21046"</f>
        <v>21046</v>
      </c>
      <c r="K2190" s="2">
        <v>45857</v>
      </c>
      <c r="L2190" s="2">
        <v>45859</v>
      </c>
      <c r="M2190" s="1" t="s">
        <v>5475</v>
      </c>
      <c r="N2190" s="1" t="s">
        <v>5474</v>
      </c>
    </row>
    <row r="2191" spans="1:14" x14ac:dyDescent="0.35">
      <c r="A2191" s="1" t="s">
        <v>4321</v>
      </c>
      <c r="B2191" s="3" t="s">
        <v>4253</v>
      </c>
      <c r="C2191" s="1" t="s">
        <v>4268</v>
      </c>
      <c r="D2191" s="1" t="s">
        <v>5473</v>
      </c>
      <c r="E2191" s="1" t="str">
        <f>"4020"</f>
        <v>4020</v>
      </c>
      <c r="F2191" s="1" t="str">
        <f>"002460688"</f>
        <v>002460688</v>
      </c>
      <c r="G2191" s="1" t="s">
        <v>5472</v>
      </c>
      <c r="H2191" s="1" t="s">
        <v>5471</v>
      </c>
      <c r="I2191" s="3" t="str">
        <f>"1"</f>
        <v>1</v>
      </c>
      <c r="J2191" s="3">
        <v>106.84</v>
      </c>
      <c r="K2191" s="2">
        <v>45857</v>
      </c>
      <c r="L2191" s="2">
        <v>45859</v>
      </c>
      <c r="M2191" s="1" t="s">
        <v>5470</v>
      </c>
      <c r="N2191" s="1" t="s">
        <v>5469</v>
      </c>
    </row>
    <row r="2192" spans="1:14" x14ac:dyDescent="0.35">
      <c r="A2192" s="1" t="s">
        <v>4321</v>
      </c>
      <c r="B2192" s="3" t="s">
        <v>2456</v>
      </c>
      <c r="C2192" s="1" t="s">
        <v>2457</v>
      </c>
      <c r="D2192" s="1" t="s">
        <v>5468</v>
      </c>
      <c r="E2192" s="1" t="str">
        <f>"5855"</f>
        <v>5855</v>
      </c>
      <c r="F2192" s="1" t="str">
        <f>"015330555"</f>
        <v>015330555</v>
      </c>
      <c r="G2192" s="1" t="s">
        <v>2656</v>
      </c>
      <c r="H2192" s="1" t="s">
        <v>15</v>
      </c>
      <c r="I2192" s="3" t="str">
        <f>"9"</f>
        <v>9</v>
      </c>
      <c r="J2192" s="3" t="str">
        <f>"1800"</f>
        <v>1800</v>
      </c>
      <c r="K2192" s="2">
        <v>45849</v>
      </c>
      <c r="L2192" s="2">
        <v>45859</v>
      </c>
      <c r="M2192" s="1" t="s">
        <v>5467</v>
      </c>
      <c r="N2192" s="1" t="s">
        <v>4343</v>
      </c>
    </row>
    <row r="2193" spans="1:14" x14ac:dyDescent="0.35">
      <c r="A2193" s="1" t="s">
        <v>4321</v>
      </c>
      <c r="B2193" s="3" t="s">
        <v>5157</v>
      </c>
      <c r="C2193" s="1" t="s">
        <v>5466</v>
      </c>
      <c r="D2193" s="1" t="s">
        <v>5465</v>
      </c>
      <c r="E2193" s="1" t="str">
        <f>"1940"</f>
        <v>1940</v>
      </c>
      <c r="F2193" s="1" t="str">
        <f>"014591333"</f>
        <v>014591333</v>
      </c>
      <c r="G2193" s="1" t="s">
        <v>5464</v>
      </c>
      <c r="H2193" s="1" t="s">
        <v>15</v>
      </c>
      <c r="I2193" s="3" t="str">
        <f>"1"</f>
        <v>1</v>
      </c>
      <c r="J2193" s="3" t="str">
        <f>"24915"</f>
        <v>24915</v>
      </c>
      <c r="K2193" s="2">
        <v>45841</v>
      </c>
      <c r="L2193" s="2">
        <v>45859</v>
      </c>
      <c r="M2193" s="1" t="s">
        <v>5463</v>
      </c>
      <c r="N2193" s="1" t="s">
        <v>5462</v>
      </c>
    </row>
    <row r="2194" spans="1:14" x14ac:dyDescent="0.35">
      <c r="A2194" s="1" t="s">
        <v>4321</v>
      </c>
      <c r="B2194" s="3" t="s">
        <v>2720</v>
      </c>
      <c r="C2194" s="1" t="s">
        <v>4832</v>
      </c>
      <c r="D2194" s="1" t="s">
        <v>5461</v>
      </c>
      <c r="E2194" s="1" t="str">
        <f>"5855"</f>
        <v>5855</v>
      </c>
      <c r="F2194" s="1" t="str">
        <f>"015665301"</f>
        <v>015665301</v>
      </c>
      <c r="G2194" s="1" t="s">
        <v>1904</v>
      </c>
      <c r="H2194" s="1" t="s">
        <v>15</v>
      </c>
      <c r="I2194" s="3" t="str">
        <f>"25"</f>
        <v>25</v>
      </c>
      <c r="J2194" s="3">
        <v>445.26</v>
      </c>
      <c r="K2194" s="2">
        <v>45824</v>
      </c>
      <c r="L2194" s="2">
        <v>45859</v>
      </c>
      <c r="M2194" s="1" t="s">
        <v>5460</v>
      </c>
      <c r="N2194" s="1" t="s">
        <v>5459</v>
      </c>
    </row>
    <row r="2195" spans="1:14" x14ac:dyDescent="0.35">
      <c r="A2195" s="1" t="s">
        <v>4321</v>
      </c>
      <c r="B2195" s="3" t="s">
        <v>93</v>
      </c>
      <c r="C2195" s="1" t="s">
        <v>369</v>
      </c>
      <c r="D2195" s="1" t="s">
        <v>5458</v>
      </c>
      <c r="E2195" s="1" t="str">
        <f>"2320"</f>
        <v>2320</v>
      </c>
      <c r="F2195" s="1" t="str">
        <f>"013701439"</f>
        <v>013701439</v>
      </c>
      <c r="G2195" s="1" t="s">
        <v>5457</v>
      </c>
      <c r="H2195" s="1" t="s">
        <v>15</v>
      </c>
      <c r="I2195" s="3" t="str">
        <f>"1"</f>
        <v>1</v>
      </c>
      <c r="J2195" s="3" t="str">
        <f>"57800"</f>
        <v>57800</v>
      </c>
      <c r="K2195" s="2">
        <v>45822</v>
      </c>
      <c r="L2195" s="2">
        <v>45859</v>
      </c>
      <c r="M2195" s="1" t="s">
        <v>5456</v>
      </c>
      <c r="N2195" s="1" t="s">
        <v>4343</v>
      </c>
    </row>
    <row r="2196" spans="1:14" x14ac:dyDescent="0.35">
      <c r="A2196" s="1" t="s">
        <v>4321</v>
      </c>
      <c r="B2196" s="3" t="s">
        <v>3513</v>
      </c>
      <c r="C2196" s="1" t="s">
        <v>3514</v>
      </c>
      <c r="D2196" s="1" t="s">
        <v>5455</v>
      </c>
      <c r="E2196" s="1" t="str">
        <f>"3439"</f>
        <v>3439</v>
      </c>
      <c r="F2196" s="1" t="str">
        <f>"006186623"</f>
        <v>006186623</v>
      </c>
      <c r="G2196" s="1" t="s">
        <v>5454</v>
      </c>
      <c r="H2196" s="1" t="s">
        <v>15</v>
      </c>
      <c r="I2196" s="3" t="str">
        <f>"2"</f>
        <v>2</v>
      </c>
      <c r="J2196" s="3">
        <v>117.63</v>
      </c>
      <c r="K2196" s="2">
        <v>45817</v>
      </c>
      <c r="L2196" s="2">
        <v>45859</v>
      </c>
      <c r="M2196" s="1" t="s">
        <v>5453</v>
      </c>
      <c r="N2196" s="1" t="s">
        <v>5452</v>
      </c>
    </row>
    <row r="2197" spans="1:14" x14ac:dyDescent="0.35">
      <c r="A2197" s="1" t="s">
        <v>4321</v>
      </c>
      <c r="B2197" s="3" t="s">
        <v>3513</v>
      </c>
      <c r="C2197" s="1" t="s">
        <v>3514</v>
      </c>
      <c r="D2197" s="1" t="s">
        <v>5451</v>
      </c>
      <c r="E2197" s="1" t="str">
        <f>"5120"</f>
        <v>5120</v>
      </c>
      <c r="F2197" s="1" t="str">
        <f>"015905909"</f>
        <v>015905909</v>
      </c>
      <c r="G2197" s="1" t="s">
        <v>5450</v>
      </c>
      <c r="H2197" s="1" t="s">
        <v>15</v>
      </c>
      <c r="I2197" s="3" t="str">
        <f>"1"</f>
        <v>1</v>
      </c>
      <c r="J2197" s="3">
        <v>408.67</v>
      </c>
      <c r="K2197" s="2">
        <v>45817</v>
      </c>
      <c r="L2197" s="2">
        <v>45859</v>
      </c>
      <c r="M2197" s="1" t="s">
        <v>5449</v>
      </c>
      <c r="N2197" s="1" t="s">
        <v>5448</v>
      </c>
    </row>
    <row r="2198" spans="1:14" x14ac:dyDescent="0.35">
      <c r="A2198" s="1" t="s">
        <v>4321</v>
      </c>
      <c r="B2198" s="3" t="s">
        <v>3183</v>
      </c>
      <c r="C2198" s="1" t="s">
        <v>5447</v>
      </c>
      <c r="D2198" s="1" t="s">
        <v>5446</v>
      </c>
      <c r="E2198" s="1" t="str">
        <f>"2320"</f>
        <v>2320</v>
      </c>
      <c r="F2198" s="1" t="str">
        <f>"013477645"</f>
        <v>013477645</v>
      </c>
      <c r="G2198" s="1" t="s">
        <v>5445</v>
      </c>
      <c r="H2198" s="1" t="s">
        <v>15</v>
      </c>
      <c r="I2198" s="3" t="str">
        <f>"1"</f>
        <v>1</v>
      </c>
      <c r="J2198" s="3" t="str">
        <f>"350000"</f>
        <v>350000</v>
      </c>
      <c r="K2198" s="2">
        <v>45856</v>
      </c>
      <c r="L2198" s="2">
        <v>45857</v>
      </c>
      <c r="M2198" s="1" t="s">
        <v>5444</v>
      </c>
      <c r="N2198" s="1" t="s">
        <v>4343</v>
      </c>
    </row>
    <row r="2199" spans="1:14" x14ac:dyDescent="0.35">
      <c r="A2199" s="1" t="s">
        <v>4321</v>
      </c>
      <c r="B2199" s="3" t="s">
        <v>2720</v>
      </c>
      <c r="C2199" s="1" t="s">
        <v>2779</v>
      </c>
      <c r="D2199" s="1" t="s">
        <v>5443</v>
      </c>
      <c r="E2199" s="1" t="str">
        <f>"8140"</f>
        <v>8140</v>
      </c>
      <c r="F2199" s="1" t="str">
        <f>"016045849"</f>
        <v>016045849</v>
      </c>
      <c r="G2199" s="1" t="s">
        <v>5442</v>
      </c>
      <c r="H2199" s="1" t="s">
        <v>15</v>
      </c>
      <c r="I2199" s="3" t="str">
        <f>"25"</f>
        <v>25</v>
      </c>
      <c r="J2199" s="3">
        <v>11.69</v>
      </c>
      <c r="K2199" s="2">
        <v>45856</v>
      </c>
      <c r="L2199" s="2">
        <v>45857</v>
      </c>
      <c r="M2199" s="1" t="s">
        <v>5441</v>
      </c>
      <c r="N2199" s="1" t="s">
        <v>4343</v>
      </c>
    </row>
    <row r="2200" spans="1:14" x14ac:dyDescent="0.35">
      <c r="A2200" s="1" t="s">
        <v>4321</v>
      </c>
      <c r="B2200" s="3" t="s">
        <v>2720</v>
      </c>
      <c r="C2200" s="1" t="s">
        <v>2779</v>
      </c>
      <c r="D2200" s="1" t="s">
        <v>5440</v>
      </c>
      <c r="E2200" s="1" t="str">
        <f>"8465"</f>
        <v>8465</v>
      </c>
      <c r="F2200" s="1" t="s">
        <v>2516</v>
      </c>
      <c r="G2200" s="1" t="s">
        <v>2517</v>
      </c>
      <c r="H2200" s="1" t="s">
        <v>15</v>
      </c>
      <c r="I2200" s="3" t="str">
        <f>"1"</f>
        <v>1</v>
      </c>
      <c r="J2200" s="3" t="str">
        <f>"400"</f>
        <v>400</v>
      </c>
      <c r="K2200" s="2">
        <v>45856</v>
      </c>
      <c r="L2200" s="2">
        <v>45857</v>
      </c>
      <c r="M2200" s="1" t="s">
        <v>5439</v>
      </c>
      <c r="N2200" s="1" t="s">
        <v>4343</v>
      </c>
    </row>
    <row r="2201" spans="1:14" x14ac:dyDescent="0.35">
      <c r="A2201" s="1" t="s">
        <v>4321</v>
      </c>
      <c r="B2201" s="3" t="s">
        <v>806</v>
      </c>
      <c r="C2201" s="1" t="s">
        <v>941</v>
      </c>
      <c r="D2201" s="1" t="s">
        <v>5438</v>
      </c>
      <c r="E2201" s="1" t="str">
        <f>"8465"</f>
        <v>8465</v>
      </c>
      <c r="F2201" s="1" t="str">
        <f>"011178699"</f>
        <v>011178699</v>
      </c>
      <c r="G2201" s="1" t="s">
        <v>975</v>
      </c>
      <c r="H2201" s="1" t="s">
        <v>15</v>
      </c>
      <c r="I2201" s="3" t="str">
        <f>"4"</f>
        <v>4</v>
      </c>
      <c r="J2201" s="3">
        <v>27.54</v>
      </c>
      <c r="K2201" s="2">
        <v>45856</v>
      </c>
      <c r="L2201" s="2">
        <v>45857</v>
      </c>
      <c r="M2201" s="1" t="s">
        <v>5434</v>
      </c>
      <c r="N2201" s="1" t="s">
        <v>4343</v>
      </c>
    </row>
    <row r="2202" spans="1:14" x14ac:dyDescent="0.35">
      <c r="A2202" s="1" t="s">
        <v>4321</v>
      </c>
      <c r="B2202" s="3" t="s">
        <v>806</v>
      </c>
      <c r="C2202" s="1" t="s">
        <v>941</v>
      </c>
      <c r="D2202" s="1" t="s">
        <v>5437</v>
      </c>
      <c r="E2202" s="1" t="str">
        <f>"8465"</f>
        <v>8465</v>
      </c>
      <c r="F2202" s="1" t="str">
        <f>"015472644"</f>
        <v>015472644</v>
      </c>
      <c r="G2202" s="1" t="s">
        <v>988</v>
      </c>
      <c r="H2202" s="1" t="s">
        <v>15</v>
      </c>
      <c r="I2202" s="3" t="str">
        <f>"50"</f>
        <v>50</v>
      </c>
      <c r="J2202" s="3">
        <v>131.53</v>
      </c>
      <c r="K2202" s="2">
        <v>45856</v>
      </c>
      <c r="L2202" s="2">
        <v>45857</v>
      </c>
      <c r="M2202" s="1" t="s">
        <v>5434</v>
      </c>
      <c r="N2202" s="1" t="s">
        <v>4343</v>
      </c>
    </row>
    <row r="2203" spans="1:14" x14ac:dyDescent="0.35">
      <c r="A2203" s="1" t="s">
        <v>4321</v>
      </c>
      <c r="B2203" s="3" t="s">
        <v>806</v>
      </c>
      <c r="C2203" s="1" t="s">
        <v>941</v>
      </c>
      <c r="D2203" s="1" t="s">
        <v>5436</v>
      </c>
      <c r="E2203" s="1" t="str">
        <f>"8465"</f>
        <v>8465</v>
      </c>
      <c r="F2203" s="1" t="str">
        <f>"015236276"</f>
        <v>015236276</v>
      </c>
      <c r="G2203" s="1" t="s">
        <v>3420</v>
      </c>
      <c r="H2203" s="1" t="s">
        <v>58</v>
      </c>
      <c r="I2203" s="3" t="str">
        <f>"16"</f>
        <v>16</v>
      </c>
      <c r="J2203" s="3">
        <v>265.95999999999998</v>
      </c>
      <c r="K2203" s="2">
        <v>45856</v>
      </c>
      <c r="L2203" s="2">
        <v>45857</v>
      </c>
      <c r="M2203" s="1" t="s">
        <v>5434</v>
      </c>
      <c r="N2203" s="1" t="s">
        <v>4343</v>
      </c>
    </row>
    <row r="2204" spans="1:14" x14ac:dyDescent="0.35">
      <c r="A2204" s="1" t="s">
        <v>4321</v>
      </c>
      <c r="B2204" s="3" t="s">
        <v>806</v>
      </c>
      <c r="C2204" s="1" t="s">
        <v>941</v>
      </c>
      <c r="D2204" s="1" t="s">
        <v>5435</v>
      </c>
      <c r="E2204" s="1" t="str">
        <f>"8415"</f>
        <v>8415</v>
      </c>
      <c r="F2204" s="1" t="str">
        <f>"015467444"</f>
        <v>015467444</v>
      </c>
      <c r="G2204" s="1" t="s">
        <v>839</v>
      </c>
      <c r="H2204" s="1" t="s">
        <v>15</v>
      </c>
      <c r="I2204" s="3" t="str">
        <f>"2"</f>
        <v>2</v>
      </c>
      <c r="J2204" s="3">
        <v>67.62</v>
      </c>
      <c r="K2204" s="2">
        <v>45856</v>
      </c>
      <c r="L2204" s="2">
        <v>45857</v>
      </c>
      <c r="M2204" s="1" t="s">
        <v>5434</v>
      </c>
      <c r="N2204" s="1" t="s">
        <v>4343</v>
      </c>
    </row>
    <row r="2205" spans="1:14" x14ac:dyDescent="0.35">
      <c r="A2205" s="1" t="s">
        <v>4321</v>
      </c>
      <c r="B2205" s="3" t="s">
        <v>2000</v>
      </c>
      <c r="C2205" s="1" t="s">
        <v>5433</v>
      </c>
      <c r="D2205" s="1" t="s">
        <v>5432</v>
      </c>
      <c r="E2205" s="1" t="str">
        <f>"5855"</f>
        <v>5855</v>
      </c>
      <c r="F2205" s="1" t="str">
        <f>"015777174"</f>
        <v>015777174</v>
      </c>
      <c r="G2205" s="1" t="s">
        <v>1931</v>
      </c>
      <c r="H2205" s="1" t="s">
        <v>15</v>
      </c>
      <c r="I2205" s="3" t="str">
        <f>"15"</f>
        <v>15</v>
      </c>
      <c r="J2205" s="3" t="str">
        <f>"1800"</f>
        <v>1800</v>
      </c>
      <c r="K2205" s="2">
        <v>45855</v>
      </c>
      <c r="L2205" s="2">
        <v>45857</v>
      </c>
      <c r="M2205" s="1" t="s">
        <v>5431</v>
      </c>
      <c r="N2205" s="1" t="s">
        <v>5430</v>
      </c>
    </row>
    <row r="2206" spans="1:14" x14ac:dyDescent="0.35">
      <c r="A2206" s="1" t="s">
        <v>4321</v>
      </c>
      <c r="B2206" s="3" t="s">
        <v>93</v>
      </c>
      <c r="C2206" s="1" t="s">
        <v>450</v>
      </c>
      <c r="D2206" s="1" t="s">
        <v>5429</v>
      </c>
      <c r="E2206" s="1" t="str">
        <f>"3210"</f>
        <v>3210</v>
      </c>
      <c r="F2206" s="1" t="s">
        <v>471</v>
      </c>
      <c r="G2206" s="1" t="s">
        <v>472</v>
      </c>
      <c r="H2206" s="1" t="s">
        <v>15</v>
      </c>
      <c r="I2206" s="3" t="str">
        <f>"2"</f>
        <v>2</v>
      </c>
      <c r="J2206" s="3" t="str">
        <f>"7450"</f>
        <v>7450</v>
      </c>
      <c r="K2206" s="2">
        <v>45855</v>
      </c>
      <c r="L2206" s="2">
        <v>45857</v>
      </c>
      <c r="M2206" s="1" t="s">
        <v>473</v>
      </c>
      <c r="N2206" s="1" t="s">
        <v>5428</v>
      </c>
    </row>
    <row r="2207" spans="1:14" x14ac:dyDescent="0.35">
      <c r="A2207" s="1" t="s">
        <v>4321</v>
      </c>
      <c r="B2207" s="3" t="s">
        <v>3105</v>
      </c>
      <c r="C2207" s="1" t="s">
        <v>3141</v>
      </c>
      <c r="D2207" s="1" t="s">
        <v>5427</v>
      </c>
      <c r="E2207" s="1" t="str">
        <f>"5855"</f>
        <v>5855</v>
      </c>
      <c r="F2207" s="1" t="str">
        <f>"015777174"</f>
        <v>015777174</v>
      </c>
      <c r="G2207" s="1" t="s">
        <v>1931</v>
      </c>
      <c r="H2207" s="1" t="s">
        <v>15</v>
      </c>
      <c r="I2207" s="3" t="str">
        <f>"22"</f>
        <v>22</v>
      </c>
      <c r="J2207" s="3" t="str">
        <f>"1800"</f>
        <v>1800</v>
      </c>
      <c r="K2207" s="2">
        <v>45854</v>
      </c>
      <c r="L2207" s="2">
        <v>45857</v>
      </c>
      <c r="M2207" s="1" t="s">
        <v>5426</v>
      </c>
      <c r="N2207" s="1" t="s">
        <v>5425</v>
      </c>
    </row>
    <row r="2208" spans="1:14" x14ac:dyDescent="0.35">
      <c r="A2208" s="1" t="s">
        <v>4321</v>
      </c>
      <c r="B2208" s="3" t="s">
        <v>3885</v>
      </c>
      <c r="C2208" s="1" t="s">
        <v>3966</v>
      </c>
      <c r="D2208" s="1" t="s">
        <v>5424</v>
      </c>
      <c r="E2208" s="1" t="str">
        <f>"4120"</f>
        <v>4120</v>
      </c>
      <c r="F2208" s="1" t="str">
        <f>"009054230"</f>
        <v>009054230</v>
      </c>
      <c r="G2208" s="1" t="s">
        <v>943</v>
      </c>
      <c r="H2208" s="1" t="s">
        <v>15</v>
      </c>
      <c r="I2208" s="3" t="str">
        <f>"8"</f>
        <v>8</v>
      </c>
      <c r="J2208" s="3">
        <v>1093.0999999999999</v>
      </c>
      <c r="K2208" s="2">
        <v>45853</v>
      </c>
      <c r="L2208" s="2">
        <v>45857</v>
      </c>
      <c r="M2208" s="1" t="s">
        <v>5423</v>
      </c>
      <c r="N2208" s="1" t="s">
        <v>5422</v>
      </c>
    </row>
    <row r="2209" spans="1:14" x14ac:dyDescent="0.35">
      <c r="A2209" s="1" t="s">
        <v>4321</v>
      </c>
      <c r="B2209" s="3" t="s">
        <v>1699</v>
      </c>
      <c r="C2209" s="1" t="s">
        <v>1818</v>
      </c>
      <c r="D2209" s="1" t="s">
        <v>5421</v>
      </c>
      <c r="E2209" s="1" t="str">
        <f>"6115"</f>
        <v>6115</v>
      </c>
      <c r="F2209" s="1" t="s">
        <v>174</v>
      </c>
      <c r="G2209" s="1" t="s">
        <v>175</v>
      </c>
      <c r="H2209" s="1" t="s">
        <v>15</v>
      </c>
      <c r="I2209" s="3" t="str">
        <f>"1"</f>
        <v>1</v>
      </c>
      <c r="J2209" s="3" t="str">
        <f>"65000"</f>
        <v>65000</v>
      </c>
      <c r="K2209" s="2">
        <v>45853</v>
      </c>
      <c r="L2209" s="2">
        <v>45857</v>
      </c>
      <c r="M2209" s="1" t="s">
        <v>5420</v>
      </c>
      <c r="N2209" s="1" t="s">
        <v>4343</v>
      </c>
    </row>
    <row r="2210" spans="1:14" x14ac:dyDescent="0.35">
      <c r="A2210" s="1" t="s">
        <v>4321</v>
      </c>
      <c r="B2210" s="3" t="s">
        <v>2638</v>
      </c>
      <c r="C2210" s="1" t="s">
        <v>2654</v>
      </c>
      <c r="D2210" s="1" t="s">
        <v>5419</v>
      </c>
      <c r="E2210" s="1" t="str">
        <f>"5855"</f>
        <v>5855</v>
      </c>
      <c r="F2210" s="1" t="str">
        <f>"016465962"</f>
        <v>016465962</v>
      </c>
      <c r="G2210" s="1" t="s">
        <v>703</v>
      </c>
      <c r="H2210" s="1" t="s">
        <v>15</v>
      </c>
      <c r="I2210" s="3" t="str">
        <f>"1"</f>
        <v>1</v>
      </c>
      <c r="J2210" s="3" t="str">
        <f>"10800"</f>
        <v>10800</v>
      </c>
      <c r="K2210" s="2">
        <v>45852</v>
      </c>
      <c r="L2210" s="2">
        <v>45857</v>
      </c>
      <c r="M2210" s="1" t="s">
        <v>5418</v>
      </c>
      <c r="N2210" s="1" t="s">
        <v>5417</v>
      </c>
    </row>
    <row r="2211" spans="1:14" x14ac:dyDescent="0.35">
      <c r="A2211" s="1" t="s">
        <v>4321</v>
      </c>
      <c r="B2211" s="3" t="s">
        <v>3183</v>
      </c>
      <c r="C2211" s="1" t="s">
        <v>3339</v>
      </c>
      <c r="D2211" s="1" t="s">
        <v>5416</v>
      </c>
      <c r="E2211" s="1" t="str">
        <f>"2340"</f>
        <v>2340</v>
      </c>
      <c r="F2211" s="1" t="s">
        <v>2003</v>
      </c>
      <c r="G2211" s="1" t="s">
        <v>2004</v>
      </c>
      <c r="H2211" s="1" t="s">
        <v>15</v>
      </c>
      <c r="I2211" s="3" t="str">
        <f>"1"</f>
        <v>1</v>
      </c>
      <c r="J2211" s="3" t="str">
        <f>"4500"</f>
        <v>4500</v>
      </c>
      <c r="K2211" s="2">
        <v>45852</v>
      </c>
      <c r="L2211" s="2">
        <v>45857</v>
      </c>
      <c r="M2211" s="1" t="s">
        <v>5415</v>
      </c>
      <c r="N2211" s="1" t="s">
        <v>5414</v>
      </c>
    </row>
    <row r="2212" spans="1:14" x14ac:dyDescent="0.35">
      <c r="A2212" s="1" t="s">
        <v>4321</v>
      </c>
      <c r="B2212" s="3" t="s">
        <v>601</v>
      </c>
      <c r="C2212" s="1" t="s">
        <v>645</v>
      </c>
      <c r="D2212" s="1" t="s">
        <v>5413</v>
      </c>
      <c r="E2212" s="1" t="str">
        <f>"2340"</f>
        <v>2340</v>
      </c>
      <c r="F2212" s="1" t="s">
        <v>2003</v>
      </c>
      <c r="G2212" s="1" t="s">
        <v>2004</v>
      </c>
      <c r="H2212" s="1" t="s">
        <v>15</v>
      </c>
      <c r="I2212" s="3" t="str">
        <f>"1"</f>
        <v>1</v>
      </c>
      <c r="J2212" s="3" t="str">
        <f>"4500"</f>
        <v>4500</v>
      </c>
      <c r="K2212" s="2">
        <v>45852</v>
      </c>
      <c r="L2212" s="2">
        <v>45857</v>
      </c>
      <c r="M2212" s="1" t="s">
        <v>5412</v>
      </c>
      <c r="N2212" s="1" t="s">
        <v>5411</v>
      </c>
    </row>
    <row r="2213" spans="1:14" x14ac:dyDescent="0.35">
      <c r="A2213" s="1" t="s">
        <v>4321</v>
      </c>
      <c r="B2213" s="3" t="s">
        <v>3183</v>
      </c>
      <c r="C2213" s="1" t="s">
        <v>3321</v>
      </c>
      <c r="D2213" s="1" t="s">
        <v>5410</v>
      </c>
      <c r="E2213" s="1" t="str">
        <f>"6650"</f>
        <v>6650</v>
      </c>
      <c r="F2213" s="1" t="s">
        <v>3823</v>
      </c>
      <c r="G2213" s="1" t="s">
        <v>3824</v>
      </c>
      <c r="H2213" s="1" t="s">
        <v>15</v>
      </c>
      <c r="I2213" s="3" t="str">
        <f>"1"</f>
        <v>1</v>
      </c>
      <c r="J2213" s="3" t="str">
        <f>"1998"</f>
        <v>1998</v>
      </c>
      <c r="K2213" s="2">
        <v>45850</v>
      </c>
      <c r="L2213" s="2">
        <v>45857</v>
      </c>
      <c r="M2213" s="1" t="s">
        <v>5409</v>
      </c>
      <c r="N2213" s="1" t="s">
        <v>5408</v>
      </c>
    </row>
    <row r="2214" spans="1:14" x14ac:dyDescent="0.35">
      <c r="A2214" s="1" t="s">
        <v>4321</v>
      </c>
      <c r="B2214" s="3" t="s">
        <v>3183</v>
      </c>
      <c r="C2214" s="1" t="s">
        <v>5407</v>
      </c>
      <c r="D2214" s="1" t="s">
        <v>5406</v>
      </c>
      <c r="E2214" s="1" t="str">
        <f>"2330"</f>
        <v>2330</v>
      </c>
      <c r="F2214" s="1" t="s">
        <v>70</v>
      </c>
      <c r="G2214" s="1" t="s">
        <v>71</v>
      </c>
      <c r="H2214" s="1" t="s">
        <v>15</v>
      </c>
      <c r="I2214" s="3" t="str">
        <f>"1"</f>
        <v>1</v>
      </c>
      <c r="J2214" s="3" t="str">
        <f>"10000"</f>
        <v>10000</v>
      </c>
      <c r="K2214" s="2">
        <v>45849</v>
      </c>
      <c r="L2214" s="2">
        <v>45857</v>
      </c>
      <c r="M2214" s="1" t="s">
        <v>5405</v>
      </c>
      <c r="N2214" s="1" t="s">
        <v>5404</v>
      </c>
    </row>
    <row r="2215" spans="1:14" x14ac:dyDescent="0.35">
      <c r="A2215" s="1" t="s">
        <v>4321</v>
      </c>
      <c r="B2215" s="3" t="s">
        <v>93</v>
      </c>
      <c r="C2215" s="1" t="s">
        <v>305</v>
      </c>
      <c r="D2215" s="1" t="s">
        <v>5403</v>
      </c>
      <c r="E2215" s="1" t="str">
        <f>"2330"</f>
        <v>2330</v>
      </c>
      <c r="F2215" s="1" t="s">
        <v>70</v>
      </c>
      <c r="G2215" s="1" t="s">
        <v>71</v>
      </c>
      <c r="H2215" s="1" t="s">
        <v>15</v>
      </c>
      <c r="I2215" s="3" t="str">
        <f>"1"</f>
        <v>1</v>
      </c>
      <c r="J2215" s="3" t="str">
        <f>"10000"</f>
        <v>10000</v>
      </c>
      <c r="K2215" s="2">
        <v>45849</v>
      </c>
      <c r="L2215" s="2">
        <v>45857</v>
      </c>
      <c r="M2215" s="1" t="s">
        <v>5402</v>
      </c>
      <c r="N2215" s="1" t="s">
        <v>5401</v>
      </c>
    </row>
    <row r="2216" spans="1:14" x14ac:dyDescent="0.35">
      <c r="A2216" s="1" t="s">
        <v>4321</v>
      </c>
      <c r="B2216" s="3" t="s">
        <v>93</v>
      </c>
      <c r="C2216" s="1" t="s">
        <v>109</v>
      </c>
      <c r="D2216" s="1" t="s">
        <v>5400</v>
      </c>
      <c r="E2216" s="1" t="str">
        <f>"2320"</f>
        <v>2320</v>
      </c>
      <c r="F2216" s="1" t="s">
        <v>1871</v>
      </c>
      <c r="G2216" s="1" t="s">
        <v>1872</v>
      </c>
      <c r="H2216" s="1" t="s">
        <v>15</v>
      </c>
      <c r="I2216" s="3" t="str">
        <f>"1"</f>
        <v>1</v>
      </c>
      <c r="J2216" s="3">
        <v>26701.39</v>
      </c>
      <c r="K2216" s="2">
        <v>45846</v>
      </c>
      <c r="L2216" s="2">
        <v>45857</v>
      </c>
      <c r="M2216" s="1" t="s">
        <v>5399</v>
      </c>
      <c r="N2216" s="1" t="s">
        <v>5398</v>
      </c>
    </row>
    <row r="2217" spans="1:14" x14ac:dyDescent="0.35">
      <c r="A2217" s="1" t="s">
        <v>4321</v>
      </c>
      <c r="B2217" s="3" t="s">
        <v>93</v>
      </c>
      <c r="C2217" s="1" t="s">
        <v>109</v>
      </c>
      <c r="D2217" s="1" t="s">
        <v>5397</v>
      </c>
      <c r="E2217" s="1" t="str">
        <f>"2320"</f>
        <v>2320</v>
      </c>
      <c r="F2217" s="1" t="s">
        <v>321</v>
      </c>
      <c r="G2217" s="1" t="s">
        <v>322</v>
      </c>
      <c r="H2217" s="1" t="s">
        <v>15</v>
      </c>
      <c r="I2217" s="3" t="str">
        <f>"1"</f>
        <v>1</v>
      </c>
      <c r="J2217" s="3" t="str">
        <f>"50000"</f>
        <v>50000</v>
      </c>
      <c r="K2217" s="2">
        <v>45846</v>
      </c>
      <c r="L2217" s="2">
        <v>45857</v>
      </c>
      <c r="M2217" s="1" t="s">
        <v>5396</v>
      </c>
      <c r="N2217" s="1" t="s">
        <v>5395</v>
      </c>
    </row>
    <row r="2218" spans="1:14" x14ac:dyDescent="0.35">
      <c r="A2218" s="1" t="s">
        <v>4321</v>
      </c>
      <c r="B2218" s="3" t="s">
        <v>2987</v>
      </c>
      <c r="C2218" s="1" t="s">
        <v>5394</v>
      </c>
      <c r="D2218" s="1" t="s">
        <v>5393</v>
      </c>
      <c r="E2218" s="1" t="str">
        <f>"5855"</f>
        <v>5855</v>
      </c>
      <c r="F2218" s="1" t="str">
        <f>"015847217"</f>
        <v>015847217</v>
      </c>
      <c r="G2218" s="1" t="s">
        <v>1942</v>
      </c>
      <c r="H2218" s="1" t="s">
        <v>15</v>
      </c>
      <c r="I2218" s="3" t="str">
        <f>"16"</f>
        <v>16</v>
      </c>
      <c r="J2218" s="3" t="str">
        <f>"35674"</f>
        <v>35674</v>
      </c>
      <c r="K2218" s="2">
        <v>45846</v>
      </c>
      <c r="L2218" s="2">
        <v>45857</v>
      </c>
      <c r="M2218" s="1" t="s">
        <v>5392</v>
      </c>
      <c r="N2218" s="1" t="s">
        <v>5391</v>
      </c>
    </row>
    <row r="2219" spans="1:14" x14ac:dyDescent="0.35">
      <c r="A2219" s="1" t="s">
        <v>4321</v>
      </c>
      <c r="B2219" s="3" t="s">
        <v>1844</v>
      </c>
      <c r="C2219" s="1" t="s">
        <v>1845</v>
      </c>
      <c r="D2219" s="1" t="s">
        <v>5390</v>
      </c>
      <c r="E2219" s="1" t="str">
        <f>"5855"</f>
        <v>5855</v>
      </c>
      <c r="F2219" s="1" t="str">
        <f>"015847217"</f>
        <v>015847217</v>
      </c>
      <c r="G2219" s="1" t="s">
        <v>1942</v>
      </c>
      <c r="H2219" s="1" t="s">
        <v>15</v>
      </c>
      <c r="I2219" s="3" t="str">
        <f>"12"</f>
        <v>12</v>
      </c>
      <c r="J2219" s="3" t="str">
        <f>"35674"</f>
        <v>35674</v>
      </c>
      <c r="K2219" s="2">
        <v>45846</v>
      </c>
      <c r="L2219" s="2">
        <v>45857</v>
      </c>
      <c r="M2219" s="1" t="s">
        <v>5389</v>
      </c>
      <c r="N2219" s="1" t="s">
        <v>5388</v>
      </c>
    </row>
    <row r="2220" spans="1:14" x14ac:dyDescent="0.35">
      <c r="A2220" s="1" t="s">
        <v>4321</v>
      </c>
      <c r="B2220" s="3" t="s">
        <v>1699</v>
      </c>
      <c r="C2220" s="1" t="s">
        <v>1795</v>
      </c>
      <c r="D2220" s="1" t="s">
        <v>5387</v>
      </c>
      <c r="E2220" s="1" t="str">
        <f>"2320"</f>
        <v>2320</v>
      </c>
      <c r="F2220" s="1" t="s">
        <v>1871</v>
      </c>
      <c r="G2220" s="1" t="s">
        <v>1872</v>
      </c>
      <c r="H2220" s="1" t="s">
        <v>15</v>
      </c>
      <c r="I2220" s="3" t="str">
        <f>"1"</f>
        <v>1</v>
      </c>
      <c r="J2220" s="3">
        <v>26701.39</v>
      </c>
      <c r="K2220" s="2">
        <v>45846</v>
      </c>
      <c r="L2220" s="2">
        <v>45857</v>
      </c>
      <c r="M2220" s="1" t="s">
        <v>5386</v>
      </c>
      <c r="N2220" s="1" t="s">
        <v>5385</v>
      </c>
    </row>
    <row r="2221" spans="1:14" x14ac:dyDescent="0.35">
      <c r="A2221" s="1" t="s">
        <v>4321</v>
      </c>
      <c r="B2221" s="3" t="s">
        <v>2000</v>
      </c>
      <c r="C2221" s="1" t="s">
        <v>2065</v>
      </c>
      <c r="D2221" s="1" t="s">
        <v>5384</v>
      </c>
      <c r="E2221" s="1" t="str">
        <f>"5855"</f>
        <v>5855</v>
      </c>
      <c r="F2221" s="1" t="str">
        <f>"015847217"</f>
        <v>015847217</v>
      </c>
      <c r="G2221" s="1" t="s">
        <v>1942</v>
      </c>
      <c r="H2221" s="1" t="s">
        <v>15</v>
      </c>
      <c r="I2221" s="3" t="str">
        <f>"25"</f>
        <v>25</v>
      </c>
      <c r="J2221" s="3" t="str">
        <f>"35674"</f>
        <v>35674</v>
      </c>
      <c r="K2221" s="2">
        <v>45846</v>
      </c>
      <c r="L2221" s="2">
        <v>45857</v>
      </c>
      <c r="M2221" s="1" t="s">
        <v>5383</v>
      </c>
      <c r="N2221" s="1" t="s">
        <v>5382</v>
      </c>
    </row>
    <row r="2222" spans="1:14" x14ac:dyDescent="0.35">
      <c r="A2222" s="1" t="s">
        <v>4321</v>
      </c>
      <c r="B2222" s="3" t="s">
        <v>1699</v>
      </c>
      <c r="C2222" s="1" t="s">
        <v>1818</v>
      </c>
      <c r="D2222" s="1" t="s">
        <v>5381</v>
      </c>
      <c r="E2222" s="1" t="str">
        <f>"2320"</f>
        <v>2320</v>
      </c>
      <c r="F2222" s="1" t="str">
        <f>"015761809"</f>
        <v>015761809</v>
      </c>
      <c r="G2222" s="1" t="s">
        <v>1799</v>
      </c>
      <c r="H2222" s="1" t="s">
        <v>15</v>
      </c>
      <c r="I2222" s="3" t="str">
        <f>"1"</f>
        <v>1</v>
      </c>
      <c r="J2222" s="3" t="str">
        <f>"13600"</f>
        <v>13600</v>
      </c>
      <c r="K2222" s="2">
        <v>45846</v>
      </c>
      <c r="L2222" s="2">
        <v>45857</v>
      </c>
      <c r="M2222" s="1" t="s">
        <v>5380</v>
      </c>
      <c r="N2222" s="1" t="s">
        <v>5379</v>
      </c>
    </row>
    <row r="2223" spans="1:14" x14ac:dyDescent="0.35">
      <c r="A2223" s="1" t="s">
        <v>4321</v>
      </c>
      <c r="B2223" s="3" t="s">
        <v>2000</v>
      </c>
      <c r="C2223" s="1" t="s">
        <v>2022</v>
      </c>
      <c r="D2223" s="1" t="s">
        <v>5378</v>
      </c>
      <c r="E2223" s="1" t="str">
        <f>"5855"</f>
        <v>5855</v>
      </c>
      <c r="F2223" s="1" t="str">
        <f>"015847217"</f>
        <v>015847217</v>
      </c>
      <c r="G2223" s="1" t="s">
        <v>1942</v>
      </c>
      <c r="H2223" s="1" t="s">
        <v>15</v>
      </c>
      <c r="I2223" s="3" t="str">
        <f>"25"</f>
        <v>25</v>
      </c>
      <c r="J2223" s="3" t="str">
        <f>"35674"</f>
        <v>35674</v>
      </c>
      <c r="K2223" s="2">
        <v>45845</v>
      </c>
      <c r="L2223" s="2">
        <v>45857</v>
      </c>
      <c r="M2223" s="1" t="s">
        <v>5377</v>
      </c>
      <c r="N2223" s="1" t="s">
        <v>5376</v>
      </c>
    </row>
    <row r="2224" spans="1:14" x14ac:dyDescent="0.35">
      <c r="A2224" s="1" t="s">
        <v>4321</v>
      </c>
      <c r="B2224" s="3" t="s">
        <v>2494</v>
      </c>
      <c r="C2224" s="1" t="s">
        <v>2495</v>
      </c>
      <c r="D2224" s="1" t="s">
        <v>5375</v>
      </c>
      <c r="E2224" s="1" t="str">
        <f>"5855"</f>
        <v>5855</v>
      </c>
      <c r="F2224" s="1" t="str">
        <f>"015847217"</f>
        <v>015847217</v>
      </c>
      <c r="G2224" s="1" t="s">
        <v>1942</v>
      </c>
      <c r="H2224" s="1" t="s">
        <v>15</v>
      </c>
      <c r="I2224" s="3" t="str">
        <f>"5"</f>
        <v>5</v>
      </c>
      <c r="J2224" s="3" t="str">
        <f>"35674"</f>
        <v>35674</v>
      </c>
      <c r="K2224" s="2">
        <v>45845</v>
      </c>
      <c r="L2224" s="2">
        <v>45857</v>
      </c>
      <c r="M2224" s="1" t="s">
        <v>5374</v>
      </c>
      <c r="N2224" s="1" t="s">
        <v>5373</v>
      </c>
    </row>
    <row r="2225" spans="1:14" x14ac:dyDescent="0.35">
      <c r="A2225" s="1" t="s">
        <v>4321</v>
      </c>
      <c r="B2225" s="3" t="s">
        <v>1992</v>
      </c>
      <c r="C2225" s="1" t="s">
        <v>1993</v>
      </c>
      <c r="D2225" s="1" t="s">
        <v>5372</v>
      </c>
      <c r="E2225" s="1" t="str">
        <f>"5855"</f>
        <v>5855</v>
      </c>
      <c r="F2225" s="1" t="str">
        <f>"015847217"</f>
        <v>015847217</v>
      </c>
      <c r="G2225" s="1" t="s">
        <v>1942</v>
      </c>
      <c r="H2225" s="1" t="s">
        <v>15</v>
      </c>
      <c r="I2225" s="3" t="str">
        <f>"50"</f>
        <v>50</v>
      </c>
      <c r="J2225" s="3" t="str">
        <f>"35674"</f>
        <v>35674</v>
      </c>
      <c r="K2225" s="2">
        <v>45845</v>
      </c>
      <c r="L2225" s="2">
        <v>45857</v>
      </c>
      <c r="M2225" s="1" t="s">
        <v>5371</v>
      </c>
      <c r="N2225" s="1" t="s">
        <v>5370</v>
      </c>
    </row>
    <row r="2226" spans="1:14" x14ac:dyDescent="0.35">
      <c r="A2226" s="1" t="s">
        <v>4321</v>
      </c>
      <c r="B2226" s="3" t="s">
        <v>1699</v>
      </c>
      <c r="C2226" s="1" t="s">
        <v>1750</v>
      </c>
      <c r="D2226" s="1" t="s">
        <v>5369</v>
      </c>
      <c r="E2226" s="1" t="str">
        <f>"7025"</f>
        <v>7025</v>
      </c>
      <c r="F2226" s="1" t="s">
        <v>594</v>
      </c>
      <c r="G2226" s="1" t="s">
        <v>595</v>
      </c>
      <c r="H2226" s="1" t="s">
        <v>15</v>
      </c>
      <c r="I2226" s="3" t="str">
        <f>"2"</f>
        <v>2</v>
      </c>
      <c r="J2226" s="3" t="str">
        <f>"1000"</f>
        <v>1000</v>
      </c>
      <c r="K2226" s="2">
        <v>45845</v>
      </c>
      <c r="L2226" s="2">
        <v>45857</v>
      </c>
      <c r="M2226" s="1" t="s">
        <v>5368</v>
      </c>
      <c r="N2226" s="1" t="s">
        <v>4343</v>
      </c>
    </row>
    <row r="2227" spans="1:14" x14ac:dyDescent="0.35">
      <c r="A2227" s="1" t="s">
        <v>4321</v>
      </c>
      <c r="B2227" s="3" t="s">
        <v>2145</v>
      </c>
      <c r="C2227" s="1" t="s">
        <v>2153</v>
      </c>
      <c r="D2227" s="1" t="s">
        <v>5367</v>
      </c>
      <c r="E2227" s="1" t="str">
        <f>"5855"</f>
        <v>5855</v>
      </c>
      <c r="F2227" s="1" t="str">
        <f>"015847217"</f>
        <v>015847217</v>
      </c>
      <c r="G2227" s="1" t="s">
        <v>1942</v>
      </c>
      <c r="H2227" s="1" t="s">
        <v>15</v>
      </c>
      <c r="I2227" s="3" t="str">
        <f>"30"</f>
        <v>30</v>
      </c>
      <c r="J2227" s="3" t="str">
        <f>"35674"</f>
        <v>35674</v>
      </c>
      <c r="K2227" s="2">
        <v>45845</v>
      </c>
      <c r="L2227" s="2">
        <v>45857</v>
      </c>
      <c r="M2227" s="1" t="s">
        <v>5366</v>
      </c>
      <c r="N2227" s="1" t="s">
        <v>5365</v>
      </c>
    </row>
    <row r="2228" spans="1:14" x14ac:dyDescent="0.35">
      <c r="A2228" s="1" t="s">
        <v>4321</v>
      </c>
      <c r="B2228" s="3" t="s">
        <v>4087</v>
      </c>
      <c r="C2228" s="1" t="s">
        <v>4121</v>
      </c>
      <c r="D2228" s="1" t="s">
        <v>5364</v>
      </c>
      <c r="E2228" s="1" t="str">
        <f>"9930"</f>
        <v>9930</v>
      </c>
      <c r="F2228" s="1" t="str">
        <f>"013316244"</f>
        <v>013316244</v>
      </c>
      <c r="G2228" s="1" t="s">
        <v>1311</v>
      </c>
      <c r="H2228" s="1" t="s">
        <v>15</v>
      </c>
      <c r="I2228" s="3" t="str">
        <f>"17"</f>
        <v>17</v>
      </c>
      <c r="J2228" s="3">
        <v>58.03</v>
      </c>
      <c r="K2228" s="2">
        <v>45845</v>
      </c>
      <c r="L2228" s="2">
        <v>45857</v>
      </c>
      <c r="M2228" s="1" t="s">
        <v>5363</v>
      </c>
      <c r="N2228" s="1" t="s">
        <v>5362</v>
      </c>
    </row>
    <row r="2229" spans="1:14" x14ac:dyDescent="0.35">
      <c r="A2229" s="1" t="s">
        <v>4321</v>
      </c>
      <c r="B2229" s="3" t="s">
        <v>4087</v>
      </c>
      <c r="C2229" s="1" t="s">
        <v>4134</v>
      </c>
      <c r="D2229" s="1" t="s">
        <v>5361</v>
      </c>
      <c r="E2229" s="1" t="str">
        <f>"5855"</f>
        <v>5855</v>
      </c>
      <c r="F2229" s="1" t="str">
        <f>"015847217"</f>
        <v>015847217</v>
      </c>
      <c r="G2229" s="1" t="s">
        <v>1942</v>
      </c>
      <c r="H2229" s="1" t="s">
        <v>15</v>
      </c>
      <c r="I2229" s="3" t="str">
        <f>"15"</f>
        <v>15</v>
      </c>
      <c r="J2229" s="3" t="str">
        <f>"35674"</f>
        <v>35674</v>
      </c>
      <c r="K2229" s="2">
        <v>45845</v>
      </c>
      <c r="L2229" s="2">
        <v>45857</v>
      </c>
      <c r="M2229" s="1" t="s">
        <v>5360</v>
      </c>
      <c r="N2229" s="1" t="s">
        <v>5359</v>
      </c>
    </row>
    <row r="2230" spans="1:14" x14ac:dyDescent="0.35">
      <c r="A2230" s="1" t="s">
        <v>4321</v>
      </c>
      <c r="B2230" s="3" t="s">
        <v>1944</v>
      </c>
      <c r="C2230" s="1" t="s">
        <v>1945</v>
      </c>
      <c r="D2230" s="1" t="s">
        <v>5358</v>
      </c>
      <c r="E2230" s="1" t="str">
        <f>"5855"</f>
        <v>5855</v>
      </c>
      <c r="F2230" s="1" t="str">
        <f>"015847217"</f>
        <v>015847217</v>
      </c>
      <c r="G2230" s="1" t="s">
        <v>1942</v>
      </c>
      <c r="H2230" s="1" t="s">
        <v>15</v>
      </c>
      <c r="I2230" s="3" t="str">
        <f>"40"</f>
        <v>40</v>
      </c>
      <c r="J2230" s="3" t="str">
        <f>"35674"</f>
        <v>35674</v>
      </c>
      <c r="K2230" s="2">
        <v>45845</v>
      </c>
      <c r="L2230" s="2">
        <v>45857</v>
      </c>
      <c r="M2230" s="1" t="s">
        <v>5357</v>
      </c>
      <c r="N2230" s="1" t="s">
        <v>5356</v>
      </c>
    </row>
    <row r="2231" spans="1:14" x14ac:dyDescent="0.35">
      <c r="A2231" s="1" t="s">
        <v>4321</v>
      </c>
      <c r="B2231" s="3" t="s">
        <v>2145</v>
      </c>
      <c r="C2231" s="1" t="s">
        <v>2237</v>
      </c>
      <c r="D2231" s="1" t="s">
        <v>5355</v>
      </c>
      <c r="E2231" s="1" t="str">
        <f>"2310"</f>
        <v>2310</v>
      </c>
      <c r="F2231" s="1" t="s">
        <v>413</v>
      </c>
      <c r="G2231" s="1" t="s">
        <v>414</v>
      </c>
      <c r="H2231" s="1" t="s">
        <v>15</v>
      </c>
      <c r="I2231" s="3" t="str">
        <f>"1"</f>
        <v>1</v>
      </c>
      <c r="J2231" s="3">
        <v>12553.95</v>
      </c>
      <c r="K2231" s="2">
        <v>45845</v>
      </c>
      <c r="L2231" s="2">
        <v>45857</v>
      </c>
      <c r="M2231" s="1" t="s">
        <v>5354</v>
      </c>
      <c r="N2231" s="1" t="s">
        <v>5353</v>
      </c>
    </row>
    <row r="2232" spans="1:14" x14ac:dyDescent="0.35">
      <c r="A2232" s="1" t="s">
        <v>4321</v>
      </c>
      <c r="B2232" s="3" t="s">
        <v>2720</v>
      </c>
      <c r="C2232" s="1" t="s">
        <v>2897</v>
      </c>
      <c r="D2232" s="1" t="s">
        <v>5352</v>
      </c>
      <c r="E2232" s="1" t="str">
        <f>"4220"</f>
        <v>4220</v>
      </c>
      <c r="F2232" s="1" t="str">
        <f>"016574027"</f>
        <v>016574027</v>
      </c>
      <c r="G2232" s="1" t="s">
        <v>158</v>
      </c>
      <c r="H2232" s="1" t="s">
        <v>15</v>
      </c>
      <c r="I2232" s="3" t="str">
        <f>"6"</f>
        <v>6</v>
      </c>
      <c r="J2232" s="3">
        <v>493.5</v>
      </c>
      <c r="K2232" s="2">
        <v>45845</v>
      </c>
      <c r="L2232" s="2">
        <v>45857</v>
      </c>
      <c r="M2232" s="1" t="s">
        <v>5351</v>
      </c>
      <c r="N2232" s="1" t="s">
        <v>5350</v>
      </c>
    </row>
    <row r="2233" spans="1:14" x14ac:dyDescent="0.35">
      <c r="A2233" s="1" t="s">
        <v>4321</v>
      </c>
      <c r="B2233" s="3" t="s">
        <v>1857</v>
      </c>
      <c r="C2233" s="1" t="s">
        <v>5349</v>
      </c>
      <c r="D2233" s="1" t="s">
        <v>5348</v>
      </c>
      <c r="E2233" s="1" t="str">
        <f>"5855"</f>
        <v>5855</v>
      </c>
      <c r="F2233" s="1" t="str">
        <f>"015847217"</f>
        <v>015847217</v>
      </c>
      <c r="G2233" s="1" t="s">
        <v>1942</v>
      </c>
      <c r="H2233" s="1" t="s">
        <v>15</v>
      </c>
      <c r="I2233" s="3" t="str">
        <f>"12"</f>
        <v>12</v>
      </c>
      <c r="J2233" s="3" t="str">
        <f>"35674"</f>
        <v>35674</v>
      </c>
      <c r="K2233" s="2">
        <v>45845</v>
      </c>
      <c r="L2233" s="2">
        <v>45857</v>
      </c>
      <c r="M2233" s="1" t="s">
        <v>5347</v>
      </c>
      <c r="N2233" s="1" t="s">
        <v>5346</v>
      </c>
    </row>
    <row r="2234" spans="1:14" x14ac:dyDescent="0.35">
      <c r="A2234" s="1" t="s">
        <v>4321</v>
      </c>
      <c r="B2234" s="3" t="s">
        <v>2114</v>
      </c>
      <c r="C2234" s="1" t="s">
        <v>2115</v>
      </c>
      <c r="D2234" s="1" t="s">
        <v>5345</v>
      </c>
      <c r="E2234" s="1" t="str">
        <f>"5855"</f>
        <v>5855</v>
      </c>
      <c r="F2234" s="1" t="str">
        <f>"015847217"</f>
        <v>015847217</v>
      </c>
      <c r="G2234" s="1" t="s">
        <v>1942</v>
      </c>
      <c r="H2234" s="1" t="s">
        <v>15</v>
      </c>
      <c r="I2234" s="3" t="str">
        <f>"10"</f>
        <v>10</v>
      </c>
      <c r="J2234" s="3" t="str">
        <f>"35674"</f>
        <v>35674</v>
      </c>
      <c r="K2234" s="2">
        <v>45844</v>
      </c>
      <c r="L2234" s="2">
        <v>45857</v>
      </c>
      <c r="M2234" s="1" t="s">
        <v>5344</v>
      </c>
      <c r="N2234" s="1" t="s">
        <v>5343</v>
      </c>
    </row>
    <row r="2235" spans="1:14" x14ac:dyDescent="0.35">
      <c r="A2235" s="1" t="s">
        <v>4321</v>
      </c>
      <c r="B2235" s="3" t="s">
        <v>2248</v>
      </c>
      <c r="C2235" s="1" t="s">
        <v>2265</v>
      </c>
      <c r="D2235" s="1" t="s">
        <v>5342</v>
      </c>
      <c r="E2235" s="1" t="str">
        <f>"5855"</f>
        <v>5855</v>
      </c>
      <c r="F2235" s="1" t="str">
        <f>"015847217"</f>
        <v>015847217</v>
      </c>
      <c r="G2235" s="1" t="s">
        <v>1942</v>
      </c>
      <c r="H2235" s="1" t="s">
        <v>15</v>
      </c>
      <c r="I2235" s="3" t="str">
        <f>"15"</f>
        <v>15</v>
      </c>
      <c r="J2235" s="3" t="str">
        <f>"35674"</f>
        <v>35674</v>
      </c>
      <c r="K2235" s="2">
        <v>45844</v>
      </c>
      <c r="L2235" s="2">
        <v>45857</v>
      </c>
      <c r="M2235" s="1" t="s">
        <v>5341</v>
      </c>
      <c r="N2235" s="1" t="s">
        <v>5340</v>
      </c>
    </row>
    <row r="2236" spans="1:14" x14ac:dyDescent="0.35">
      <c r="A2236" s="1" t="s">
        <v>4321</v>
      </c>
      <c r="B2236" s="3" t="s">
        <v>1445</v>
      </c>
      <c r="C2236" s="1" t="s">
        <v>1459</v>
      </c>
      <c r="D2236" s="1" t="s">
        <v>5339</v>
      </c>
      <c r="E2236" s="1" t="str">
        <f>"5965"</f>
        <v>5965</v>
      </c>
      <c r="F2236" s="1" t="str">
        <f>"016273195"</f>
        <v>016273195</v>
      </c>
      <c r="G2236" s="1" t="s">
        <v>1389</v>
      </c>
      <c r="H2236" s="1" t="s">
        <v>15</v>
      </c>
      <c r="I2236" s="3" t="str">
        <f>"7"</f>
        <v>7</v>
      </c>
      <c r="J2236" s="3">
        <v>728.08</v>
      </c>
      <c r="K2236" s="2">
        <v>45843</v>
      </c>
      <c r="L2236" s="2">
        <v>45857</v>
      </c>
      <c r="M2236" s="1" t="s">
        <v>4839</v>
      </c>
      <c r="N2236" s="1" t="s">
        <v>5338</v>
      </c>
    </row>
    <row r="2237" spans="1:14" x14ac:dyDescent="0.35">
      <c r="A2237" s="1" t="s">
        <v>4321</v>
      </c>
      <c r="B2237" s="3" t="s">
        <v>2456</v>
      </c>
      <c r="C2237" s="1" t="s">
        <v>2457</v>
      </c>
      <c r="D2237" s="1" t="s">
        <v>5337</v>
      </c>
      <c r="E2237" s="1" t="str">
        <f>"2340"</f>
        <v>2340</v>
      </c>
      <c r="F2237" s="1" t="s">
        <v>647</v>
      </c>
      <c r="G2237" s="1" t="s">
        <v>648</v>
      </c>
      <c r="H2237" s="1" t="s">
        <v>15</v>
      </c>
      <c r="I2237" s="3" t="str">
        <f>"1"</f>
        <v>1</v>
      </c>
      <c r="J2237" s="3" t="str">
        <f>"19390"</f>
        <v>19390</v>
      </c>
      <c r="K2237" s="2">
        <v>45818</v>
      </c>
      <c r="L2237" s="2">
        <v>45857</v>
      </c>
      <c r="M2237" s="1" t="s">
        <v>5336</v>
      </c>
      <c r="N2237" s="1" t="s">
        <v>4343</v>
      </c>
    </row>
    <row r="2238" spans="1:14" x14ac:dyDescent="0.35">
      <c r="A2238" s="1" t="s">
        <v>4321</v>
      </c>
      <c r="B2238" s="3" t="s">
        <v>3183</v>
      </c>
      <c r="C2238" s="1" t="s">
        <v>3495</v>
      </c>
      <c r="D2238" s="1" t="s">
        <v>5335</v>
      </c>
      <c r="E2238" s="1" t="str">
        <f>"8470"</f>
        <v>8470</v>
      </c>
      <c r="F2238" s="1" t="str">
        <f>"016878649"</f>
        <v>016878649</v>
      </c>
      <c r="G2238" s="1" t="s">
        <v>5334</v>
      </c>
      <c r="H2238" s="1" t="s">
        <v>15</v>
      </c>
      <c r="I2238" s="3" t="str">
        <f>"1"</f>
        <v>1</v>
      </c>
      <c r="J2238" s="3">
        <v>2054.7199999999998</v>
      </c>
      <c r="K2238" s="2">
        <v>45853</v>
      </c>
      <c r="L2238" s="2">
        <v>45856</v>
      </c>
      <c r="M2238" s="1" t="s">
        <v>3508</v>
      </c>
      <c r="N2238" s="1" t="s">
        <v>5333</v>
      </c>
    </row>
    <row r="2239" spans="1:14" x14ac:dyDescent="0.35">
      <c r="A2239" s="1" t="s">
        <v>4321</v>
      </c>
      <c r="B2239" s="3" t="s">
        <v>93</v>
      </c>
      <c r="C2239" s="1" t="s">
        <v>267</v>
      </c>
      <c r="D2239" s="1" t="s">
        <v>5332</v>
      </c>
      <c r="E2239" s="1" t="str">
        <f>"2310"</f>
        <v>2310</v>
      </c>
      <c r="F2239" s="1" t="str">
        <f>"011112274"</f>
        <v>011112274</v>
      </c>
      <c r="G2239" s="1" t="s">
        <v>2218</v>
      </c>
      <c r="H2239" s="1" t="s">
        <v>15</v>
      </c>
      <c r="I2239" s="3" t="str">
        <f>"1"</f>
        <v>1</v>
      </c>
      <c r="J2239" s="3" t="str">
        <f>"96466"</f>
        <v>96466</v>
      </c>
      <c r="K2239" s="2">
        <v>45852</v>
      </c>
      <c r="L2239" s="2">
        <v>45856</v>
      </c>
      <c r="M2239" s="1" t="s">
        <v>5331</v>
      </c>
      <c r="N2239" s="1" t="s">
        <v>5330</v>
      </c>
    </row>
    <row r="2240" spans="1:14" x14ac:dyDescent="0.35">
      <c r="A2240" s="1" t="s">
        <v>4321</v>
      </c>
      <c r="B2240" s="3" t="s">
        <v>3513</v>
      </c>
      <c r="C2240" s="1" t="s">
        <v>5051</v>
      </c>
      <c r="D2240" s="1" t="s">
        <v>5329</v>
      </c>
      <c r="E2240" s="1" t="str">
        <f>"2340"</f>
        <v>2340</v>
      </c>
      <c r="F2240" s="1" t="s">
        <v>647</v>
      </c>
      <c r="G2240" s="1" t="s">
        <v>648</v>
      </c>
      <c r="H2240" s="1" t="s">
        <v>15</v>
      </c>
      <c r="I2240" s="3" t="str">
        <f>"1"</f>
        <v>1</v>
      </c>
      <c r="J2240" s="3" t="str">
        <f>"15000"</f>
        <v>15000</v>
      </c>
      <c r="K2240" s="2">
        <v>45845</v>
      </c>
      <c r="L2240" s="2">
        <v>45856</v>
      </c>
      <c r="M2240" s="1" t="s">
        <v>5049</v>
      </c>
      <c r="N2240" s="1" t="s">
        <v>5328</v>
      </c>
    </row>
    <row r="2241" spans="1:14" x14ac:dyDescent="0.35">
      <c r="A2241" s="1" t="s">
        <v>4321</v>
      </c>
      <c r="B2241" s="3" t="s">
        <v>2720</v>
      </c>
      <c r="C2241" s="1" t="s">
        <v>2876</v>
      </c>
      <c r="D2241" s="1" t="s">
        <v>5327</v>
      </c>
      <c r="E2241" s="1" t="str">
        <f>"2340"</f>
        <v>2340</v>
      </c>
      <c r="F2241" s="1" t="str">
        <f>"015135988"</f>
        <v>015135988</v>
      </c>
      <c r="G2241" s="1" t="s">
        <v>2167</v>
      </c>
      <c r="H2241" s="1" t="s">
        <v>15</v>
      </c>
      <c r="I2241" s="3" t="str">
        <f>"1"</f>
        <v>1</v>
      </c>
      <c r="J2241" s="3" t="str">
        <f>"13259"</f>
        <v>13259</v>
      </c>
      <c r="K2241" s="2">
        <v>45845</v>
      </c>
      <c r="L2241" s="2">
        <v>45856</v>
      </c>
      <c r="M2241" s="1" t="s">
        <v>5326</v>
      </c>
      <c r="N2241" s="1" t="s">
        <v>5325</v>
      </c>
    </row>
    <row r="2242" spans="1:14" x14ac:dyDescent="0.35">
      <c r="A2242" s="1" t="s">
        <v>4321</v>
      </c>
      <c r="B2242" s="3" t="s">
        <v>2638</v>
      </c>
      <c r="C2242" s="1" t="s">
        <v>2662</v>
      </c>
      <c r="D2242" s="1" t="s">
        <v>5324</v>
      </c>
      <c r="E2242" s="1" t="str">
        <f>"2340"</f>
        <v>2340</v>
      </c>
      <c r="F2242" s="1" t="str">
        <f>"015135988"</f>
        <v>015135988</v>
      </c>
      <c r="G2242" s="1" t="s">
        <v>2167</v>
      </c>
      <c r="H2242" s="1" t="s">
        <v>15</v>
      </c>
      <c r="I2242" s="3" t="str">
        <f>"1"</f>
        <v>1</v>
      </c>
      <c r="J2242" s="3" t="str">
        <f>"13259"</f>
        <v>13259</v>
      </c>
      <c r="K2242" s="2">
        <v>45844</v>
      </c>
      <c r="L2242" s="2">
        <v>45856</v>
      </c>
      <c r="M2242" s="1" t="s">
        <v>5323</v>
      </c>
      <c r="N2242" s="1" t="s">
        <v>5322</v>
      </c>
    </row>
    <row r="2243" spans="1:14" x14ac:dyDescent="0.35">
      <c r="A2243" s="1" t="s">
        <v>4321</v>
      </c>
      <c r="B2243" s="3" t="s">
        <v>3513</v>
      </c>
      <c r="C2243" s="1" t="s">
        <v>3514</v>
      </c>
      <c r="D2243" s="1" t="s">
        <v>5321</v>
      </c>
      <c r="E2243" s="1" t="str">
        <f>"2340"</f>
        <v>2340</v>
      </c>
      <c r="F2243" s="1" t="s">
        <v>647</v>
      </c>
      <c r="G2243" s="1" t="s">
        <v>648</v>
      </c>
      <c r="H2243" s="1" t="s">
        <v>15</v>
      </c>
      <c r="I2243" s="3" t="str">
        <f>"1"</f>
        <v>1</v>
      </c>
      <c r="J2243" s="3" t="str">
        <f>"15000"</f>
        <v>15000</v>
      </c>
      <c r="K2243" s="2">
        <v>45843</v>
      </c>
      <c r="L2243" s="2">
        <v>45856</v>
      </c>
      <c r="M2243" s="1" t="s">
        <v>5039</v>
      </c>
      <c r="N2243" s="1" t="s">
        <v>5320</v>
      </c>
    </row>
    <row r="2244" spans="1:14" x14ac:dyDescent="0.35">
      <c r="A2244" s="1" t="s">
        <v>4321</v>
      </c>
      <c r="B2244" s="3" t="s">
        <v>806</v>
      </c>
      <c r="C2244" s="1" t="s">
        <v>1079</v>
      </c>
      <c r="D2244" s="1" t="s">
        <v>5319</v>
      </c>
      <c r="E2244" s="1" t="str">
        <f>"3930"</f>
        <v>3930</v>
      </c>
      <c r="F2244" s="1" t="s">
        <v>150</v>
      </c>
      <c r="G2244" s="1" t="s">
        <v>151</v>
      </c>
      <c r="H2244" s="1" t="s">
        <v>15</v>
      </c>
      <c r="I2244" s="3" t="str">
        <f>"1"</f>
        <v>1</v>
      </c>
      <c r="J2244" s="3" t="str">
        <f>"42000"</f>
        <v>42000</v>
      </c>
      <c r="K2244" s="2">
        <v>45839</v>
      </c>
      <c r="L2244" s="2">
        <v>45856</v>
      </c>
      <c r="M2244" s="1" t="s">
        <v>5318</v>
      </c>
      <c r="N2244" s="1" t="s">
        <v>5317</v>
      </c>
    </row>
    <row r="2245" spans="1:14" x14ac:dyDescent="0.35">
      <c r="A2245" s="1" t="s">
        <v>4321</v>
      </c>
      <c r="B2245" s="3" t="s">
        <v>1445</v>
      </c>
      <c r="C2245" s="1" t="s">
        <v>5316</v>
      </c>
      <c r="D2245" s="1" t="s">
        <v>5315</v>
      </c>
      <c r="E2245" s="1" t="str">
        <f>"1615"</f>
        <v>1615</v>
      </c>
      <c r="F2245" s="1" t="str">
        <f>"001216450"</f>
        <v>001216450</v>
      </c>
      <c r="G2245" s="1" t="s">
        <v>5314</v>
      </c>
      <c r="H2245" s="1" t="s">
        <v>15</v>
      </c>
      <c r="I2245" s="3" t="str">
        <f>"8"</f>
        <v>8</v>
      </c>
      <c r="J2245" s="3">
        <v>139.1</v>
      </c>
      <c r="K2245" s="2">
        <v>45820</v>
      </c>
      <c r="L2245" s="2">
        <v>45856</v>
      </c>
      <c r="M2245" s="1" t="s">
        <v>5313</v>
      </c>
      <c r="N2245" s="1" t="s">
        <v>5312</v>
      </c>
    </row>
    <row r="2246" spans="1:14" x14ac:dyDescent="0.35">
      <c r="A2246" s="1" t="s">
        <v>4321</v>
      </c>
      <c r="B2246" s="3" t="s">
        <v>3179</v>
      </c>
      <c r="C2246" s="1" t="s">
        <v>3180</v>
      </c>
      <c r="D2246" s="1" t="s">
        <v>5311</v>
      </c>
      <c r="E2246" s="1" t="str">
        <f>"5855"</f>
        <v>5855</v>
      </c>
      <c r="F2246" s="1" t="str">
        <f>"014333157"</f>
        <v>014333157</v>
      </c>
      <c r="G2246" s="1" t="s">
        <v>1942</v>
      </c>
      <c r="H2246" s="1" t="s">
        <v>15</v>
      </c>
      <c r="I2246" s="3" t="str">
        <f>"1"</f>
        <v>1</v>
      </c>
      <c r="J2246" s="3" t="str">
        <f>"6392"</f>
        <v>6392</v>
      </c>
      <c r="K2246" s="2">
        <v>45819</v>
      </c>
      <c r="L2246" s="2">
        <v>45856</v>
      </c>
      <c r="M2246" s="1" t="s">
        <v>5300</v>
      </c>
      <c r="N2246" s="1" t="s">
        <v>5310</v>
      </c>
    </row>
    <row r="2247" spans="1:14" x14ac:dyDescent="0.35">
      <c r="A2247" s="1" t="s">
        <v>4321</v>
      </c>
      <c r="B2247" s="3" t="s">
        <v>3179</v>
      </c>
      <c r="C2247" s="1" t="s">
        <v>3180</v>
      </c>
      <c r="D2247" s="1" t="s">
        <v>5309</v>
      </c>
      <c r="E2247" s="1" t="str">
        <f>"5855"</f>
        <v>5855</v>
      </c>
      <c r="F2247" s="1" t="str">
        <f>"014333157"</f>
        <v>014333157</v>
      </c>
      <c r="G2247" s="1" t="s">
        <v>1942</v>
      </c>
      <c r="H2247" s="1" t="s">
        <v>15</v>
      </c>
      <c r="I2247" s="3" t="str">
        <f>"1"</f>
        <v>1</v>
      </c>
      <c r="J2247" s="3" t="str">
        <f>"6392"</f>
        <v>6392</v>
      </c>
      <c r="K2247" s="2">
        <v>45819</v>
      </c>
      <c r="L2247" s="2">
        <v>45856</v>
      </c>
      <c r="M2247" s="1" t="s">
        <v>5300</v>
      </c>
      <c r="N2247" s="1" t="s">
        <v>5308</v>
      </c>
    </row>
    <row r="2248" spans="1:14" x14ac:dyDescent="0.35">
      <c r="A2248" s="1" t="s">
        <v>4321</v>
      </c>
      <c r="B2248" s="3" t="s">
        <v>3179</v>
      </c>
      <c r="C2248" s="1" t="s">
        <v>3180</v>
      </c>
      <c r="D2248" s="1" t="s">
        <v>5307</v>
      </c>
      <c r="E2248" s="1" t="str">
        <f>"5855"</f>
        <v>5855</v>
      </c>
      <c r="F2248" s="1" t="str">
        <f>"014333157"</f>
        <v>014333157</v>
      </c>
      <c r="G2248" s="1" t="s">
        <v>1942</v>
      </c>
      <c r="H2248" s="1" t="s">
        <v>15</v>
      </c>
      <c r="I2248" s="3" t="str">
        <f>"1"</f>
        <v>1</v>
      </c>
      <c r="J2248" s="3" t="str">
        <f>"6392"</f>
        <v>6392</v>
      </c>
      <c r="K2248" s="2">
        <v>45819</v>
      </c>
      <c r="L2248" s="2">
        <v>45856</v>
      </c>
      <c r="M2248" s="1" t="s">
        <v>5300</v>
      </c>
      <c r="N2248" s="1" t="s">
        <v>5306</v>
      </c>
    </row>
    <row r="2249" spans="1:14" x14ac:dyDescent="0.35">
      <c r="A2249" s="1" t="s">
        <v>4321</v>
      </c>
      <c r="B2249" s="3" t="s">
        <v>3179</v>
      </c>
      <c r="C2249" s="1" t="s">
        <v>3180</v>
      </c>
      <c r="D2249" s="1" t="s">
        <v>5305</v>
      </c>
      <c r="E2249" s="1" t="str">
        <f>"5855"</f>
        <v>5855</v>
      </c>
      <c r="F2249" s="1" t="str">
        <f>"014333157"</f>
        <v>014333157</v>
      </c>
      <c r="G2249" s="1" t="s">
        <v>1942</v>
      </c>
      <c r="H2249" s="1" t="s">
        <v>15</v>
      </c>
      <c r="I2249" s="3" t="str">
        <f>"1"</f>
        <v>1</v>
      </c>
      <c r="J2249" s="3" t="str">
        <f>"6392"</f>
        <v>6392</v>
      </c>
      <c r="K2249" s="2">
        <v>45819</v>
      </c>
      <c r="L2249" s="2">
        <v>45856</v>
      </c>
      <c r="M2249" s="1" t="s">
        <v>5300</v>
      </c>
      <c r="N2249" s="1" t="s">
        <v>5304</v>
      </c>
    </row>
    <row r="2250" spans="1:14" x14ac:dyDescent="0.35">
      <c r="A2250" s="1" t="s">
        <v>4321</v>
      </c>
      <c r="B2250" s="3" t="s">
        <v>3179</v>
      </c>
      <c r="C2250" s="1" t="s">
        <v>3180</v>
      </c>
      <c r="D2250" s="1" t="s">
        <v>5303</v>
      </c>
      <c r="E2250" s="1" t="str">
        <f>"5855"</f>
        <v>5855</v>
      </c>
      <c r="F2250" s="1" t="str">
        <f>"014333157"</f>
        <v>014333157</v>
      </c>
      <c r="G2250" s="1" t="s">
        <v>1942</v>
      </c>
      <c r="H2250" s="1" t="s">
        <v>15</v>
      </c>
      <c r="I2250" s="3" t="str">
        <f>"1"</f>
        <v>1</v>
      </c>
      <c r="J2250" s="3" t="str">
        <f>"6392"</f>
        <v>6392</v>
      </c>
      <c r="K2250" s="2">
        <v>45819</v>
      </c>
      <c r="L2250" s="2">
        <v>45856</v>
      </c>
      <c r="M2250" s="1" t="s">
        <v>5300</v>
      </c>
      <c r="N2250" s="1" t="s">
        <v>5302</v>
      </c>
    </row>
    <row r="2251" spans="1:14" x14ac:dyDescent="0.35">
      <c r="A2251" s="1" t="s">
        <v>4321</v>
      </c>
      <c r="B2251" s="3" t="s">
        <v>3179</v>
      </c>
      <c r="C2251" s="1" t="s">
        <v>3180</v>
      </c>
      <c r="D2251" s="1" t="s">
        <v>5301</v>
      </c>
      <c r="E2251" s="1" t="str">
        <f>"5855"</f>
        <v>5855</v>
      </c>
      <c r="F2251" s="1" t="str">
        <f>"014333157"</f>
        <v>014333157</v>
      </c>
      <c r="G2251" s="1" t="s">
        <v>1942</v>
      </c>
      <c r="H2251" s="1" t="s">
        <v>15</v>
      </c>
      <c r="I2251" s="3" t="str">
        <f>"1"</f>
        <v>1</v>
      </c>
      <c r="J2251" s="3" t="str">
        <f>"6392"</f>
        <v>6392</v>
      </c>
      <c r="K2251" s="2">
        <v>45819</v>
      </c>
      <c r="L2251" s="2">
        <v>45856</v>
      </c>
      <c r="M2251" s="1" t="s">
        <v>5300</v>
      </c>
      <c r="N2251" s="1" t="s">
        <v>5299</v>
      </c>
    </row>
    <row r="2252" spans="1:14" x14ac:dyDescent="0.35">
      <c r="A2252" s="1" t="s">
        <v>4321</v>
      </c>
      <c r="B2252" s="3" t="s">
        <v>2114</v>
      </c>
      <c r="C2252" s="1" t="s">
        <v>2138</v>
      </c>
      <c r="D2252" s="1" t="s">
        <v>5298</v>
      </c>
      <c r="E2252" s="1" t="str">
        <f>"6515"</f>
        <v>6515</v>
      </c>
      <c r="F2252" s="1" t="str">
        <f>"015263653"</f>
        <v>015263653</v>
      </c>
      <c r="G2252" s="1" t="s">
        <v>5297</v>
      </c>
      <c r="H2252" s="1" t="s">
        <v>15</v>
      </c>
      <c r="I2252" s="3" t="str">
        <f>"6"</f>
        <v>6</v>
      </c>
      <c r="J2252" s="3">
        <v>1714.51</v>
      </c>
      <c r="K2252" s="2">
        <v>45809</v>
      </c>
      <c r="L2252" s="2">
        <v>45856</v>
      </c>
      <c r="M2252" s="1" t="s">
        <v>5296</v>
      </c>
      <c r="N2252" s="1" t="s">
        <v>5295</v>
      </c>
    </row>
    <row r="2253" spans="1:14" x14ac:dyDescent="0.35">
      <c r="A2253" s="1" t="s">
        <v>4321</v>
      </c>
      <c r="B2253" s="3" t="s">
        <v>3183</v>
      </c>
      <c r="C2253" s="1" t="s">
        <v>5294</v>
      </c>
      <c r="D2253" s="1" t="s">
        <v>5293</v>
      </c>
      <c r="E2253" s="1" t="str">
        <f>"3895"</f>
        <v>3895</v>
      </c>
      <c r="F2253" s="1" t="s">
        <v>396</v>
      </c>
      <c r="G2253" s="1" t="s">
        <v>397</v>
      </c>
      <c r="H2253" s="1" t="s">
        <v>15</v>
      </c>
      <c r="I2253" s="3" t="str">
        <f>"1"</f>
        <v>1</v>
      </c>
      <c r="J2253" s="3" t="str">
        <f>"15000"</f>
        <v>15000</v>
      </c>
      <c r="K2253" s="2">
        <v>45805</v>
      </c>
      <c r="L2253" s="2">
        <v>45856</v>
      </c>
      <c r="M2253" s="1" t="s">
        <v>5292</v>
      </c>
      <c r="N2253" s="1" t="s">
        <v>5291</v>
      </c>
    </row>
    <row r="2254" spans="1:14" x14ac:dyDescent="0.35">
      <c r="A2254" s="1" t="s">
        <v>4321</v>
      </c>
      <c r="B2254" s="3" t="s">
        <v>2638</v>
      </c>
      <c r="C2254" s="1" t="s">
        <v>5290</v>
      </c>
      <c r="D2254" s="1" t="s">
        <v>5289</v>
      </c>
      <c r="E2254" s="1" t="str">
        <f>"2330"</f>
        <v>2330</v>
      </c>
      <c r="F2254" s="1" t="s">
        <v>5288</v>
      </c>
      <c r="G2254" s="1" t="s">
        <v>5287</v>
      </c>
      <c r="H2254" s="1" t="s">
        <v>15</v>
      </c>
      <c r="I2254" s="3" t="str">
        <f>"1"</f>
        <v>1</v>
      </c>
      <c r="J2254" s="3">
        <v>968679.86</v>
      </c>
      <c r="K2254" s="2">
        <v>45793</v>
      </c>
      <c r="L2254" s="2">
        <v>45856</v>
      </c>
      <c r="M2254" s="1" t="s">
        <v>5286</v>
      </c>
      <c r="N2254" s="1" t="s">
        <v>5285</v>
      </c>
    </row>
    <row r="2255" spans="1:14" x14ac:dyDescent="0.35">
      <c r="A2255" s="1" t="s">
        <v>4321</v>
      </c>
      <c r="B2255" s="3" t="s">
        <v>93</v>
      </c>
      <c r="C2255" s="1" t="s">
        <v>262</v>
      </c>
      <c r="D2255" s="1" t="s">
        <v>5284</v>
      </c>
      <c r="E2255" s="1" t="str">
        <f>"6350"</f>
        <v>6350</v>
      </c>
      <c r="F2255" s="1" t="s">
        <v>5283</v>
      </c>
      <c r="G2255" s="1" t="s">
        <v>5282</v>
      </c>
      <c r="H2255" s="1" t="s">
        <v>15</v>
      </c>
      <c r="I2255" s="3" t="str">
        <f>"1"</f>
        <v>1</v>
      </c>
      <c r="J2255" s="3" t="str">
        <f>"18720"</f>
        <v>18720</v>
      </c>
      <c r="K2255" s="2">
        <v>45852</v>
      </c>
      <c r="L2255" s="2">
        <v>45855</v>
      </c>
      <c r="M2255" s="1" t="s">
        <v>5281</v>
      </c>
      <c r="N2255" s="1" t="s">
        <v>5280</v>
      </c>
    </row>
    <row r="2256" spans="1:14" x14ac:dyDescent="0.35">
      <c r="A2256" s="1" t="s">
        <v>4321</v>
      </c>
      <c r="B2256" s="3" t="s">
        <v>2000</v>
      </c>
      <c r="C2256" s="1" t="s">
        <v>2078</v>
      </c>
      <c r="D2256" s="1" t="s">
        <v>5279</v>
      </c>
      <c r="E2256" s="1" t="str">
        <f>"5820"</f>
        <v>5820</v>
      </c>
      <c r="F2256" s="1" t="s">
        <v>2183</v>
      </c>
      <c r="G2256" s="1" t="s">
        <v>2184</v>
      </c>
      <c r="H2256" s="1" t="s">
        <v>15</v>
      </c>
      <c r="I2256" s="3" t="str">
        <f>"65"</f>
        <v>65</v>
      </c>
      <c r="J2256" s="3" t="str">
        <f>"50"</f>
        <v>50</v>
      </c>
      <c r="K2256" s="2">
        <v>45852</v>
      </c>
      <c r="L2256" s="2">
        <v>45855</v>
      </c>
      <c r="M2256" s="1" t="s">
        <v>5278</v>
      </c>
      <c r="N2256" s="1" t="s">
        <v>4387</v>
      </c>
    </row>
    <row r="2257" spans="1:14" x14ac:dyDescent="0.35">
      <c r="A2257" s="1" t="s">
        <v>4321</v>
      </c>
      <c r="B2257" s="3" t="s">
        <v>806</v>
      </c>
      <c r="C2257" s="1" t="s">
        <v>1079</v>
      </c>
      <c r="D2257" s="1" t="s">
        <v>5277</v>
      </c>
      <c r="E2257" s="1" t="str">
        <f>"4910"</f>
        <v>4910</v>
      </c>
      <c r="F2257" s="1" t="s">
        <v>1645</v>
      </c>
      <c r="G2257" s="1" t="s">
        <v>1646</v>
      </c>
      <c r="H2257" s="1" t="s">
        <v>15</v>
      </c>
      <c r="I2257" s="3" t="str">
        <f>"2"</f>
        <v>2</v>
      </c>
      <c r="J2257" s="3" t="str">
        <f>"52"</f>
        <v>52</v>
      </c>
      <c r="K2257" s="2">
        <v>45847</v>
      </c>
      <c r="L2257" s="2">
        <v>45855</v>
      </c>
      <c r="M2257" s="1" t="s">
        <v>5276</v>
      </c>
      <c r="N2257" s="1" t="s">
        <v>5275</v>
      </c>
    </row>
    <row r="2258" spans="1:14" x14ac:dyDescent="0.35">
      <c r="A2258" s="1" t="s">
        <v>4321</v>
      </c>
      <c r="B2258" s="3" t="s">
        <v>2145</v>
      </c>
      <c r="C2258" s="1" t="s">
        <v>2213</v>
      </c>
      <c r="D2258" s="1" t="s">
        <v>5274</v>
      </c>
      <c r="E2258" s="1" t="str">
        <f>"1240"</f>
        <v>1240</v>
      </c>
      <c r="F2258" s="1" t="str">
        <f>"015330939"</f>
        <v>015330939</v>
      </c>
      <c r="G2258" s="1" t="s">
        <v>2459</v>
      </c>
      <c r="H2258" s="1" t="s">
        <v>15</v>
      </c>
      <c r="I2258" s="3" t="str">
        <f>"5"</f>
        <v>5</v>
      </c>
      <c r="J2258" s="3" t="str">
        <f>"800"</f>
        <v>800</v>
      </c>
      <c r="K2258" s="2">
        <v>45845</v>
      </c>
      <c r="L2258" s="2">
        <v>45855</v>
      </c>
      <c r="M2258" s="1" t="s">
        <v>5273</v>
      </c>
      <c r="N2258" s="1" t="s">
        <v>5272</v>
      </c>
    </row>
    <row r="2259" spans="1:14" x14ac:dyDescent="0.35">
      <c r="A2259" s="1" t="s">
        <v>4321</v>
      </c>
      <c r="B2259" s="3" t="s">
        <v>3513</v>
      </c>
      <c r="C2259" s="1" t="s">
        <v>3801</v>
      </c>
      <c r="D2259" s="1" t="s">
        <v>5271</v>
      </c>
      <c r="E2259" s="1" t="str">
        <f>"1240"</f>
        <v>1240</v>
      </c>
      <c r="F2259" s="1" t="str">
        <f>"015330939"</f>
        <v>015330939</v>
      </c>
      <c r="G2259" s="1" t="s">
        <v>2459</v>
      </c>
      <c r="H2259" s="1" t="s">
        <v>15</v>
      </c>
      <c r="I2259" s="3" t="str">
        <f>"5"</f>
        <v>5</v>
      </c>
      <c r="J2259" s="3" t="str">
        <f>"800"</f>
        <v>800</v>
      </c>
      <c r="K2259" s="2">
        <v>45843</v>
      </c>
      <c r="L2259" s="2">
        <v>45855</v>
      </c>
      <c r="M2259" s="1" t="s">
        <v>5270</v>
      </c>
      <c r="N2259" s="1" t="s">
        <v>5269</v>
      </c>
    </row>
    <row r="2260" spans="1:14" x14ac:dyDescent="0.35">
      <c r="A2260" s="1" t="s">
        <v>4321</v>
      </c>
      <c r="B2260" s="3" t="s">
        <v>4087</v>
      </c>
      <c r="C2260" s="1" t="s">
        <v>4248</v>
      </c>
      <c r="D2260" s="1" t="s">
        <v>5268</v>
      </c>
      <c r="E2260" s="1" t="str">
        <f>"7830"</f>
        <v>7830</v>
      </c>
      <c r="F2260" s="1" t="s">
        <v>42</v>
      </c>
      <c r="G2260" s="1" t="s">
        <v>43</v>
      </c>
      <c r="H2260" s="1" t="s">
        <v>15</v>
      </c>
      <c r="I2260" s="3" t="str">
        <f>"1"</f>
        <v>1</v>
      </c>
      <c r="J2260" s="3" t="str">
        <f>"5000"</f>
        <v>5000</v>
      </c>
      <c r="K2260" s="2">
        <v>45818</v>
      </c>
      <c r="L2260" s="2">
        <v>45855</v>
      </c>
      <c r="M2260" s="1" t="s">
        <v>5267</v>
      </c>
      <c r="N2260" s="1" t="s">
        <v>5266</v>
      </c>
    </row>
    <row r="2261" spans="1:14" x14ac:dyDescent="0.35">
      <c r="A2261" s="1" t="s">
        <v>4321</v>
      </c>
      <c r="B2261" s="3" t="s">
        <v>2000</v>
      </c>
      <c r="C2261" s="1" t="s">
        <v>5265</v>
      </c>
      <c r="D2261" s="1" t="s">
        <v>5264</v>
      </c>
      <c r="E2261" s="1" t="str">
        <f>"2310"</f>
        <v>2310</v>
      </c>
      <c r="F2261" s="1" t="s">
        <v>2377</v>
      </c>
      <c r="G2261" s="1" t="s">
        <v>2378</v>
      </c>
      <c r="H2261" s="1" t="s">
        <v>15</v>
      </c>
      <c r="I2261" s="3" t="str">
        <f>"1"</f>
        <v>1</v>
      </c>
      <c r="J2261" s="3">
        <v>26701.37</v>
      </c>
      <c r="K2261" s="2">
        <v>45854</v>
      </c>
      <c r="L2261" s="2">
        <v>45854</v>
      </c>
      <c r="N2261" s="1" t="s">
        <v>4387</v>
      </c>
    </row>
    <row r="2262" spans="1:14" x14ac:dyDescent="0.35">
      <c r="A2262" s="1" t="s">
        <v>4321</v>
      </c>
      <c r="B2262" s="3" t="s">
        <v>1407</v>
      </c>
      <c r="C2262" s="1" t="s">
        <v>1408</v>
      </c>
      <c r="D2262" s="1" t="s">
        <v>5263</v>
      </c>
      <c r="E2262" s="1" t="str">
        <f>"8415"</f>
        <v>8415</v>
      </c>
      <c r="F2262" s="1" t="str">
        <f>"015984875"</f>
        <v>015984875</v>
      </c>
      <c r="G2262" s="1" t="s">
        <v>5247</v>
      </c>
      <c r="H2262" s="1" t="s">
        <v>15</v>
      </c>
      <c r="I2262" s="3" t="str">
        <f>"19"</f>
        <v>19</v>
      </c>
      <c r="J2262" s="3">
        <v>43.15</v>
      </c>
      <c r="K2262" s="2">
        <v>45854</v>
      </c>
      <c r="L2262" s="2">
        <v>45854</v>
      </c>
      <c r="N2262" s="1" t="s">
        <v>5262</v>
      </c>
    </row>
    <row r="2263" spans="1:14" x14ac:dyDescent="0.35">
      <c r="A2263" s="1" t="s">
        <v>4321</v>
      </c>
      <c r="B2263" s="3" t="s">
        <v>1407</v>
      </c>
      <c r="C2263" s="1" t="s">
        <v>1408</v>
      </c>
      <c r="D2263" s="1" t="s">
        <v>5261</v>
      </c>
      <c r="E2263" s="1" t="str">
        <f>"8340"</f>
        <v>8340</v>
      </c>
      <c r="F2263" s="1" t="str">
        <f>"015588711"</f>
        <v>015588711</v>
      </c>
      <c r="G2263" s="1" t="s">
        <v>5260</v>
      </c>
      <c r="H2263" s="1" t="s">
        <v>15</v>
      </c>
      <c r="I2263" s="3" t="str">
        <f>"4"</f>
        <v>4</v>
      </c>
      <c r="J2263" s="3">
        <v>45957.95</v>
      </c>
      <c r="K2263" s="2">
        <v>45854</v>
      </c>
      <c r="L2263" s="2">
        <v>45854</v>
      </c>
      <c r="N2263" s="1" t="s">
        <v>5259</v>
      </c>
    </row>
    <row r="2264" spans="1:14" x14ac:dyDescent="0.35">
      <c r="A2264" s="1" t="s">
        <v>4321</v>
      </c>
      <c r="B2264" s="3" t="s">
        <v>1317</v>
      </c>
      <c r="C2264" s="1" t="s">
        <v>1318</v>
      </c>
      <c r="D2264" s="1" t="s">
        <v>5258</v>
      </c>
      <c r="E2264" s="1" t="str">
        <f>"8345"</f>
        <v>8345</v>
      </c>
      <c r="F2264" s="1" t="str">
        <f>"001516486"</f>
        <v>001516486</v>
      </c>
      <c r="G2264" s="1" t="s">
        <v>5257</v>
      </c>
      <c r="H2264" s="1" t="s">
        <v>15</v>
      </c>
      <c r="I2264" s="3" t="str">
        <f>"1"</f>
        <v>1</v>
      </c>
      <c r="J2264" s="3">
        <v>82.46</v>
      </c>
      <c r="K2264" s="2">
        <v>45852</v>
      </c>
      <c r="L2264" s="2">
        <v>45854</v>
      </c>
      <c r="M2264" s="1" t="s">
        <v>5256</v>
      </c>
      <c r="N2264" s="1" t="s">
        <v>5255</v>
      </c>
    </row>
    <row r="2265" spans="1:14" x14ac:dyDescent="0.35">
      <c r="A2265" s="1" t="s">
        <v>4321</v>
      </c>
      <c r="B2265" s="3" t="s">
        <v>2494</v>
      </c>
      <c r="C2265" s="1" t="s">
        <v>2600</v>
      </c>
      <c r="D2265" s="1" t="s">
        <v>5254</v>
      </c>
      <c r="E2265" s="1" t="str">
        <f>"2330"</f>
        <v>2330</v>
      </c>
      <c r="F2265" s="1" t="s">
        <v>70</v>
      </c>
      <c r="G2265" s="1" t="s">
        <v>71</v>
      </c>
      <c r="H2265" s="1" t="s">
        <v>15</v>
      </c>
      <c r="I2265" s="3" t="str">
        <f>"1"</f>
        <v>1</v>
      </c>
      <c r="J2265" s="3">
        <v>3986.49</v>
      </c>
      <c r="K2265" s="2">
        <v>45852</v>
      </c>
      <c r="L2265" s="2">
        <v>45854</v>
      </c>
      <c r="M2265" s="1" t="s">
        <v>5253</v>
      </c>
      <c r="N2265" s="1" t="s">
        <v>5252</v>
      </c>
    </row>
    <row r="2266" spans="1:14" x14ac:dyDescent="0.35">
      <c r="A2266" s="1" t="s">
        <v>4321</v>
      </c>
      <c r="B2266" s="3" t="s">
        <v>93</v>
      </c>
      <c r="C2266" s="1" t="s">
        <v>109</v>
      </c>
      <c r="D2266" s="1" t="s">
        <v>5251</v>
      </c>
      <c r="E2266" s="1" t="str">
        <f>"2330"</f>
        <v>2330</v>
      </c>
      <c r="F2266" s="1" t="s">
        <v>70</v>
      </c>
      <c r="G2266" s="1" t="s">
        <v>71</v>
      </c>
      <c r="H2266" s="1" t="s">
        <v>15</v>
      </c>
      <c r="I2266" s="3" t="str">
        <f>"1"</f>
        <v>1</v>
      </c>
      <c r="J2266" s="3">
        <v>3986.49</v>
      </c>
      <c r="K2266" s="2">
        <v>45851</v>
      </c>
      <c r="L2266" s="2">
        <v>45854</v>
      </c>
      <c r="M2266" s="1" t="s">
        <v>5250</v>
      </c>
      <c r="N2266" s="1" t="s">
        <v>5249</v>
      </c>
    </row>
    <row r="2267" spans="1:14" x14ac:dyDescent="0.35">
      <c r="A2267" s="1" t="s">
        <v>4321</v>
      </c>
      <c r="B2267" s="3" t="s">
        <v>1407</v>
      </c>
      <c r="C2267" s="1" t="s">
        <v>1408</v>
      </c>
      <c r="D2267" s="1" t="s">
        <v>5248</v>
      </c>
      <c r="E2267" s="1" t="str">
        <f>"8415"</f>
        <v>8415</v>
      </c>
      <c r="F2267" s="1" t="str">
        <f>"015984875"</f>
        <v>015984875</v>
      </c>
      <c r="G2267" s="1" t="s">
        <v>5247</v>
      </c>
      <c r="H2267" s="1" t="s">
        <v>15</v>
      </c>
      <c r="I2267" s="3" t="str">
        <f>"19"</f>
        <v>19</v>
      </c>
      <c r="J2267" s="3">
        <v>43.15</v>
      </c>
      <c r="K2267" s="2">
        <v>45851</v>
      </c>
      <c r="L2267" s="2">
        <v>45854</v>
      </c>
      <c r="M2267" s="1" t="s">
        <v>5246</v>
      </c>
      <c r="N2267" s="1" t="s">
        <v>4343</v>
      </c>
    </row>
    <row r="2268" spans="1:14" x14ac:dyDescent="0.35">
      <c r="A2268" s="1" t="s">
        <v>4321</v>
      </c>
      <c r="B2268" s="3" t="s">
        <v>2720</v>
      </c>
      <c r="C2268" s="1" t="s">
        <v>2828</v>
      </c>
      <c r="D2268" s="1" t="s">
        <v>5245</v>
      </c>
      <c r="E2268" s="1" t="str">
        <f>"2320"</f>
        <v>2320</v>
      </c>
      <c r="F2268" s="1" t="str">
        <f>"015762508"</f>
        <v>015762508</v>
      </c>
      <c r="G2268" s="1" t="s">
        <v>1799</v>
      </c>
      <c r="H2268" s="1" t="s">
        <v>15</v>
      </c>
      <c r="I2268" s="3" t="str">
        <f>"1"</f>
        <v>1</v>
      </c>
      <c r="J2268" s="3" t="str">
        <f>"21000"</f>
        <v>21000</v>
      </c>
      <c r="K2268" s="2">
        <v>45851</v>
      </c>
      <c r="L2268" s="2">
        <v>45854</v>
      </c>
      <c r="M2268" s="1" t="s">
        <v>5244</v>
      </c>
      <c r="N2268" s="1" t="s">
        <v>5243</v>
      </c>
    </row>
    <row r="2269" spans="1:14" x14ac:dyDescent="0.35">
      <c r="A2269" s="1" t="s">
        <v>4321</v>
      </c>
      <c r="B2269" s="3" t="s">
        <v>4253</v>
      </c>
      <c r="C2269" s="1" t="s">
        <v>4254</v>
      </c>
      <c r="D2269" s="1" t="s">
        <v>5242</v>
      </c>
      <c r="E2269" s="1" t="str">
        <f>"2320"</f>
        <v>2320</v>
      </c>
      <c r="F2269" s="1" t="str">
        <f>"015762508"</f>
        <v>015762508</v>
      </c>
      <c r="G2269" s="1" t="s">
        <v>1799</v>
      </c>
      <c r="H2269" s="1" t="s">
        <v>15</v>
      </c>
      <c r="I2269" s="3" t="str">
        <f>"1"</f>
        <v>1</v>
      </c>
      <c r="J2269" s="3" t="str">
        <f>"21000"</f>
        <v>21000</v>
      </c>
      <c r="K2269" s="2">
        <v>45850</v>
      </c>
      <c r="L2269" s="2">
        <v>45854</v>
      </c>
      <c r="M2269" s="1" t="s">
        <v>5241</v>
      </c>
      <c r="N2269" s="1" t="s">
        <v>5240</v>
      </c>
    </row>
    <row r="2270" spans="1:14" x14ac:dyDescent="0.35">
      <c r="A2270" s="1" t="s">
        <v>4321</v>
      </c>
      <c r="B2270" s="3" t="s">
        <v>3183</v>
      </c>
      <c r="C2270" s="1" t="s">
        <v>3184</v>
      </c>
      <c r="D2270" s="1" t="s">
        <v>5239</v>
      </c>
      <c r="E2270" s="1" t="str">
        <f>"2320"</f>
        <v>2320</v>
      </c>
      <c r="F2270" s="1" t="str">
        <f>"015762508"</f>
        <v>015762508</v>
      </c>
      <c r="G2270" s="1" t="s">
        <v>1799</v>
      </c>
      <c r="H2270" s="1" t="s">
        <v>15</v>
      </c>
      <c r="I2270" s="3" t="str">
        <f>"1"</f>
        <v>1</v>
      </c>
      <c r="J2270" s="3" t="str">
        <f>"21000"</f>
        <v>21000</v>
      </c>
      <c r="K2270" s="2">
        <v>45850</v>
      </c>
      <c r="L2270" s="2">
        <v>45854</v>
      </c>
      <c r="M2270" s="1" t="s">
        <v>5238</v>
      </c>
      <c r="N2270" s="1" t="s">
        <v>5237</v>
      </c>
    </row>
    <row r="2271" spans="1:14" x14ac:dyDescent="0.35">
      <c r="A2271" s="1" t="s">
        <v>4321</v>
      </c>
      <c r="B2271" s="3" t="s">
        <v>1317</v>
      </c>
      <c r="C2271" s="1" t="s">
        <v>1318</v>
      </c>
      <c r="D2271" s="1" t="s">
        <v>5236</v>
      </c>
      <c r="E2271" s="1" t="str">
        <f>"3805"</f>
        <v>3805</v>
      </c>
      <c r="F2271" s="1" t="str">
        <f>"012575636"</f>
        <v>012575636</v>
      </c>
      <c r="G2271" s="1" t="s">
        <v>587</v>
      </c>
      <c r="H2271" s="1" t="s">
        <v>15</v>
      </c>
      <c r="I2271" s="3" t="str">
        <f>"1"</f>
        <v>1</v>
      </c>
      <c r="J2271" s="3" t="str">
        <f>"37532"</f>
        <v>37532</v>
      </c>
      <c r="K2271" s="2">
        <v>45848</v>
      </c>
      <c r="L2271" s="2">
        <v>45854</v>
      </c>
      <c r="N2271" s="1" t="s">
        <v>5235</v>
      </c>
    </row>
    <row r="2272" spans="1:14" x14ac:dyDescent="0.35">
      <c r="A2272" s="1" t="s">
        <v>4321</v>
      </c>
      <c r="B2272" s="3" t="s">
        <v>3885</v>
      </c>
      <c r="C2272" s="1" t="s">
        <v>3901</v>
      </c>
      <c r="D2272" s="1" t="s">
        <v>5234</v>
      </c>
      <c r="E2272" s="1" t="str">
        <f>"5331"</f>
        <v>5331</v>
      </c>
      <c r="F2272" s="1" t="str">
        <f>"016164324"</f>
        <v>016164324</v>
      </c>
      <c r="G2272" s="1" t="s">
        <v>5233</v>
      </c>
      <c r="H2272" s="1" t="s">
        <v>19</v>
      </c>
      <c r="I2272" s="3" t="str">
        <f>"1"</f>
        <v>1</v>
      </c>
      <c r="J2272" s="3">
        <v>623.70000000000005</v>
      </c>
      <c r="K2272" s="2">
        <v>45848</v>
      </c>
      <c r="L2272" s="2">
        <v>45854</v>
      </c>
      <c r="M2272" s="1" t="s">
        <v>5232</v>
      </c>
      <c r="N2272" s="1" t="s">
        <v>5231</v>
      </c>
    </row>
    <row r="2273" spans="1:14" x14ac:dyDescent="0.35">
      <c r="A2273" s="1" t="s">
        <v>4321</v>
      </c>
      <c r="B2273" s="3" t="s">
        <v>806</v>
      </c>
      <c r="C2273" s="1" t="s">
        <v>1079</v>
      </c>
      <c r="D2273" s="1" t="s">
        <v>5230</v>
      </c>
      <c r="E2273" s="1" t="str">
        <f>"3920"</f>
        <v>3920</v>
      </c>
      <c r="F2273" s="1" t="str">
        <f>"002221028"</f>
        <v>002221028</v>
      </c>
      <c r="G2273" s="1" t="s">
        <v>5229</v>
      </c>
      <c r="H2273" s="1" t="s">
        <v>15</v>
      </c>
      <c r="I2273" s="3" t="str">
        <f>"3"</f>
        <v>3</v>
      </c>
      <c r="J2273" s="3">
        <v>503.15</v>
      </c>
      <c r="K2273" s="2">
        <v>45846</v>
      </c>
      <c r="L2273" s="2">
        <v>45854</v>
      </c>
      <c r="M2273" s="1" t="s">
        <v>5228</v>
      </c>
      <c r="N2273" s="1" t="s">
        <v>5227</v>
      </c>
    </row>
    <row r="2274" spans="1:14" x14ac:dyDescent="0.35">
      <c r="A2274" s="1" t="s">
        <v>4321</v>
      </c>
      <c r="B2274" s="3" t="s">
        <v>1977</v>
      </c>
      <c r="C2274" s="1" t="s">
        <v>4493</v>
      </c>
      <c r="D2274" s="1" t="s">
        <v>5226</v>
      </c>
      <c r="E2274" s="1" t="str">
        <f>"8140"</f>
        <v>8140</v>
      </c>
      <c r="F2274" s="1" t="str">
        <f>"013544996"</f>
        <v>013544996</v>
      </c>
      <c r="G2274" s="1" t="s">
        <v>5225</v>
      </c>
      <c r="H2274" s="1" t="s">
        <v>15</v>
      </c>
      <c r="I2274" s="3" t="str">
        <f>"65"</f>
        <v>65</v>
      </c>
      <c r="J2274" s="3" t="str">
        <f>"30"</f>
        <v>30</v>
      </c>
      <c r="K2274" s="2">
        <v>45842</v>
      </c>
      <c r="L2274" s="2">
        <v>45854</v>
      </c>
      <c r="M2274" s="1" t="s">
        <v>5224</v>
      </c>
      <c r="N2274" s="1" t="s">
        <v>5223</v>
      </c>
    </row>
    <row r="2275" spans="1:14" x14ac:dyDescent="0.35">
      <c r="A2275" s="1" t="s">
        <v>4321</v>
      </c>
      <c r="B2275" s="3" t="s">
        <v>1977</v>
      </c>
      <c r="C2275" s="1" t="s">
        <v>4493</v>
      </c>
      <c r="D2275" s="1" t="s">
        <v>5222</v>
      </c>
      <c r="E2275" s="1" t="str">
        <f>"6115"</f>
        <v>6115</v>
      </c>
      <c r="F2275" s="1" t="str">
        <f>"014351567"</f>
        <v>014351567</v>
      </c>
      <c r="G2275" s="1" t="s">
        <v>435</v>
      </c>
      <c r="H2275" s="1" t="s">
        <v>15</v>
      </c>
      <c r="I2275" s="3" t="str">
        <f>"1"</f>
        <v>1</v>
      </c>
      <c r="J2275" s="3">
        <v>4623.09</v>
      </c>
      <c r="K2275" s="2">
        <v>45842</v>
      </c>
      <c r="L2275" s="2">
        <v>45854</v>
      </c>
      <c r="M2275" s="1" t="s">
        <v>5221</v>
      </c>
      <c r="N2275" s="1" t="s">
        <v>5220</v>
      </c>
    </row>
    <row r="2276" spans="1:14" x14ac:dyDescent="0.35">
      <c r="A2276" s="1" t="s">
        <v>4321</v>
      </c>
      <c r="B2276" s="3" t="s">
        <v>1977</v>
      </c>
      <c r="C2276" s="1" t="s">
        <v>4493</v>
      </c>
      <c r="D2276" s="1" t="s">
        <v>5219</v>
      </c>
      <c r="E2276" s="1" t="str">
        <f>"5210"</f>
        <v>5210</v>
      </c>
      <c r="F2276" s="1" t="s">
        <v>5218</v>
      </c>
      <c r="G2276" s="1" t="s">
        <v>5217</v>
      </c>
      <c r="H2276" s="1" t="s">
        <v>15</v>
      </c>
      <c r="I2276" s="3" t="str">
        <f>"1"</f>
        <v>1</v>
      </c>
      <c r="J2276" s="3" t="str">
        <f>"265"</f>
        <v>265</v>
      </c>
      <c r="K2276" s="2">
        <v>45842</v>
      </c>
      <c r="L2276" s="2">
        <v>45854</v>
      </c>
      <c r="M2276" s="1" t="s">
        <v>5216</v>
      </c>
      <c r="N2276" s="1" t="s">
        <v>5215</v>
      </c>
    </row>
    <row r="2277" spans="1:14" x14ac:dyDescent="0.35">
      <c r="A2277" s="1" t="s">
        <v>4321</v>
      </c>
      <c r="B2277" s="3" t="s">
        <v>1977</v>
      </c>
      <c r="C2277" s="1" t="s">
        <v>4493</v>
      </c>
      <c r="D2277" s="1" t="s">
        <v>5214</v>
      </c>
      <c r="E2277" s="1" t="str">
        <f>"5825"</f>
        <v>5825</v>
      </c>
      <c r="F2277" s="1" t="s">
        <v>5025</v>
      </c>
      <c r="G2277" s="1" t="s">
        <v>5024</v>
      </c>
      <c r="H2277" s="1" t="s">
        <v>15</v>
      </c>
      <c r="I2277" s="3" t="str">
        <f>"1"</f>
        <v>1</v>
      </c>
      <c r="J2277" s="3">
        <v>245.88</v>
      </c>
      <c r="K2277" s="2">
        <v>45842</v>
      </c>
      <c r="L2277" s="2">
        <v>45854</v>
      </c>
      <c r="M2277" s="1" t="s">
        <v>5023</v>
      </c>
      <c r="N2277" s="1" t="s">
        <v>5213</v>
      </c>
    </row>
    <row r="2278" spans="1:14" x14ac:dyDescent="0.35">
      <c r="A2278" s="1" t="s">
        <v>4321</v>
      </c>
      <c r="B2278" s="3" t="s">
        <v>1977</v>
      </c>
      <c r="C2278" s="1" t="s">
        <v>4493</v>
      </c>
      <c r="D2278" s="1" t="s">
        <v>5212</v>
      </c>
      <c r="E2278" s="1" t="str">
        <f>"5825"</f>
        <v>5825</v>
      </c>
      <c r="F2278" s="1" t="s">
        <v>5025</v>
      </c>
      <c r="G2278" s="1" t="s">
        <v>5024</v>
      </c>
      <c r="H2278" s="1" t="s">
        <v>15</v>
      </c>
      <c r="I2278" s="3" t="str">
        <f>"1"</f>
        <v>1</v>
      </c>
      <c r="J2278" s="3">
        <v>245.88</v>
      </c>
      <c r="K2278" s="2">
        <v>45842</v>
      </c>
      <c r="L2278" s="2">
        <v>45854</v>
      </c>
      <c r="M2278" s="1" t="s">
        <v>5023</v>
      </c>
      <c r="N2278" s="1" t="s">
        <v>5211</v>
      </c>
    </row>
    <row r="2279" spans="1:14" x14ac:dyDescent="0.35">
      <c r="A2279" s="1" t="s">
        <v>4321</v>
      </c>
      <c r="B2279" s="3" t="s">
        <v>1977</v>
      </c>
      <c r="C2279" s="1" t="s">
        <v>4493</v>
      </c>
      <c r="D2279" s="1" t="s">
        <v>5210</v>
      </c>
      <c r="E2279" s="1" t="str">
        <f>"4910"</f>
        <v>4910</v>
      </c>
      <c r="F2279" s="1" t="str">
        <f>"012531344"</f>
        <v>012531344</v>
      </c>
      <c r="G2279" s="1" t="s">
        <v>5209</v>
      </c>
      <c r="H2279" s="1" t="s">
        <v>15</v>
      </c>
      <c r="I2279" s="3" t="str">
        <f>"1"</f>
        <v>1</v>
      </c>
      <c r="J2279" s="3">
        <v>1631.34</v>
      </c>
      <c r="K2279" s="2">
        <v>45842</v>
      </c>
      <c r="L2279" s="2">
        <v>45854</v>
      </c>
      <c r="M2279" s="1" t="s">
        <v>5208</v>
      </c>
      <c r="N2279" s="1" t="s">
        <v>5207</v>
      </c>
    </row>
    <row r="2280" spans="1:14" x14ac:dyDescent="0.35">
      <c r="A2280" s="1" t="s">
        <v>4321</v>
      </c>
      <c r="B2280" s="3" t="s">
        <v>1977</v>
      </c>
      <c r="C2280" s="1" t="s">
        <v>4493</v>
      </c>
      <c r="D2280" s="1" t="s">
        <v>5206</v>
      </c>
      <c r="E2280" s="1" t="str">
        <f>"8415"</f>
        <v>8415</v>
      </c>
      <c r="F2280" s="1" t="s">
        <v>1359</v>
      </c>
      <c r="G2280" s="1" t="s">
        <v>1360</v>
      </c>
      <c r="H2280" s="1" t="s">
        <v>15</v>
      </c>
      <c r="I2280" s="3" t="str">
        <f>"1"</f>
        <v>1</v>
      </c>
      <c r="J2280" s="3">
        <v>51.4</v>
      </c>
      <c r="K2280" s="2">
        <v>45833</v>
      </c>
      <c r="L2280" s="2">
        <v>45854</v>
      </c>
      <c r="M2280" s="1" t="s">
        <v>5191</v>
      </c>
      <c r="N2280" s="1" t="s">
        <v>5205</v>
      </c>
    </row>
    <row r="2281" spans="1:14" x14ac:dyDescent="0.35">
      <c r="A2281" s="1" t="s">
        <v>4321</v>
      </c>
      <c r="B2281" s="3" t="s">
        <v>1977</v>
      </c>
      <c r="C2281" s="1" t="s">
        <v>4493</v>
      </c>
      <c r="D2281" s="1" t="s">
        <v>5204</v>
      </c>
      <c r="E2281" s="1" t="str">
        <f>"8415"</f>
        <v>8415</v>
      </c>
      <c r="F2281" s="1" t="s">
        <v>1359</v>
      </c>
      <c r="G2281" s="1" t="s">
        <v>1360</v>
      </c>
      <c r="H2281" s="1" t="s">
        <v>15</v>
      </c>
      <c r="I2281" s="3" t="str">
        <f>"1"</f>
        <v>1</v>
      </c>
      <c r="J2281" s="3">
        <v>51.4</v>
      </c>
      <c r="K2281" s="2">
        <v>45833</v>
      </c>
      <c r="L2281" s="2">
        <v>45854</v>
      </c>
      <c r="M2281" s="1" t="s">
        <v>5191</v>
      </c>
      <c r="N2281" s="1" t="s">
        <v>5203</v>
      </c>
    </row>
    <row r="2282" spans="1:14" x14ac:dyDescent="0.35">
      <c r="A2282" s="1" t="s">
        <v>4321</v>
      </c>
      <c r="B2282" s="3" t="s">
        <v>1977</v>
      </c>
      <c r="C2282" s="1" t="s">
        <v>4493</v>
      </c>
      <c r="D2282" s="1" t="s">
        <v>5202</v>
      </c>
      <c r="E2282" s="1" t="str">
        <f>"8415"</f>
        <v>8415</v>
      </c>
      <c r="F2282" s="1" t="s">
        <v>1359</v>
      </c>
      <c r="G2282" s="1" t="s">
        <v>1360</v>
      </c>
      <c r="H2282" s="1" t="s">
        <v>15</v>
      </c>
      <c r="I2282" s="3" t="str">
        <f>"3"</f>
        <v>3</v>
      </c>
      <c r="J2282" s="3">
        <v>51.4</v>
      </c>
      <c r="K2282" s="2">
        <v>45833</v>
      </c>
      <c r="L2282" s="2">
        <v>45854</v>
      </c>
      <c r="M2282" s="1" t="s">
        <v>5191</v>
      </c>
      <c r="N2282" s="1" t="s">
        <v>5201</v>
      </c>
    </row>
    <row r="2283" spans="1:14" x14ac:dyDescent="0.35">
      <c r="A2283" s="1" t="s">
        <v>4321</v>
      </c>
      <c r="B2283" s="3" t="s">
        <v>1977</v>
      </c>
      <c r="C2283" s="1" t="s">
        <v>4493</v>
      </c>
      <c r="D2283" s="1" t="s">
        <v>5200</v>
      </c>
      <c r="E2283" s="1" t="str">
        <f>"8415"</f>
        <v>8415</v>
      </c>
      <c r="F2283" s="1" t="s">
        <v>1359</v>
      </c>
      <c r="G2283" s="1" t="s">
        <v>1360</v>
      </c>
      <c r="H2283" s="1" t="s">
        <v>15</v>
      </c>
      <c r="I2283" s="3" t="str">
        <f>"1"</f>
        <v>1</v>
      </c>
      <c r="J2283" s="3">
        <v>51.4</v>
      </c>
      <c r="K2283" s="2">
        <v>45833</v>
      </c>
      <c r="L2283" s="2">
        <v>45854</v>
      </c>
      <c r="M2283" s="1" t="s">
        <v>5191</v>
      </c>
      <c r="N2283" s="1" t="s">
        <v>5199</v>
      </c>
    </row>
    <row r="2284" spans="1:14" x14ac:dyDescent="0.35">
      <c r="A2284" s="1" t="s">
        <v>4321</v>
      </c>
      <c r="B2284" s="3" t="s">
        <v>1977</v>
      </c>
      <c r="C2284" s="1" t="s">
        <v>4493</v>
      </c>
      <c r="D2284" s="1" t="s">
        <v>5198</v>
      </c>
      <c r="E2284" s="1" t="str">
        <f>"8415"</f>
        <v>8415</v>
      </c>
      <c r="F2284" s="1" t="s">
        <v>1359</v>
      </c>
      <c r="G2284" s="1" t="s">
        <v>1360</v>
      </c>
      <c r="H2284" s="1" t="s">
        <v>15</v>
      </c>
      <c r="I2284" s="3" t="str">
        <f>"1"</f>
        <v>1</v>
      </c>
      <c r="J2284" s="3">
        <v>51.4</v>
      </c>
      <c r="K2284" s="2">
        <v>45833</v>
      </c>
      <c r="L2284" s="2">
        <v>45854</v>
      </c>
      <c r="M2284" s="1" t="s">
        <v>5191</v>
      </c>
      <c r="N2284" s="1" t="s">
        <v>5197</v>
      </c>
    </row>
    <row r="2285" spans="1:14" x14ac:dyDescent="0.35">
      <c r="A2285" s="1" t="s">
        <v>4321</v>
      </c>
      <c r="B2285" s="3" t="s">
        <v>1977</v>
      </c>
      <c r="C2285" s="1" t="s">
        <v>4493</v>
      </c>
      <c r="D2285" s="1" t="s">
        <v>5196</v>
      </c>
      <c r="E2285" s="1" t="str">
        <f>"8415"</f>
        <v>8415</v>
      </c>
      <c r="F2285" s="1" t="s">
        <v>1359</v>
      </c>
      <c r="G2285" s="1" t="s">
        <v>1360</v>
      </c>
      <c r="H2285" s="1" t="s">
        <v>15</v>
      </c>
      <c r="I2285" s="3" t="str">
        <f>"2"</f>
        <v>2</v>
      </c>
      <c r="J2285" s="3">
        <v>51.4</v>
      </c>
      <c r="K2285" s="2">
        <v>45833</v>
      </c>
      <c r="L2285" s="2">
        <v>45854</v>
      </c>
      <c r="M2285" s="1" t="s">
        <v>5191</v>
      </c>
      <c r="N2285" s="1" t="s">
        <v>5195</v>
      </c>
    </row>
    <row r="2286" spans="1:14" x14ac:dyDescent="0.35">
      <c r="A2286" s="1" t="s">
        <v>4321</v>
      </c>
      <c r="B2286" s="3" t="s">
        <v>1977</v>
      </c>
      <c r="C2286" s="1" t="s">
        <v>4493</v>
      </c>
      <c r="D2286" s="1" t="s">
        <v>5194</v>
      </c>
      <c r="E2286" s="1" t="str">
        <f>"8415"</f>
        <v>8415</v>
      </c>
      <c r="F2286" s="1" t="s">
        <v>1359</v>
      </c>
      <c r="G2286" s="1" t="s">
        <v>1360</v>
      </c>
      <c r="H2286" s="1" t="s">
        <v>15</v>
      </c>
      <c r="I2286" s="3" t="str">
        <f>"2"</f>
        <v>2</v>
      </c>
      <c r="J2286" s="3">
        <v>51.4</v>
      </c>
      <c r="K2286" s="2">
        <v>45833</v>
      </c>
      <c r="L2286" s="2">
        <v>45854</v>
      </c>
      <c r="M2286" s="1" t="s">
        <v>5191</v>
      </c>
      <c r="N2286" s="1" t="s">
        <v>5193</v>
      </c>
    </row>
    <row r="2287" spans="1:14" x14ac:dyDescent="0.35">
      <c r="A2287" s="1" t="s">
        <v>4321</v>
      </c>
      <c r="B2287" s="3" t="s">
        <v>1977</v>
      </c>
      <c r="C2287" s="1" t="s">
        <v>4493</v>
      </c>
      <c r="D2287" s="1" t="s">
        <v>5192</v>
      </c>
      <c r="E2287" s="1" t="str">
        <f>"8415"</f>
        <v>8415</v>
      </c>
      <c r="F2287" s="1" t="s">
        <v>1359</v>
      </c>
      <c r="G2287" s="1" t="s">
        <v>1360</v>
      </c>
      <c r="H2287" s="1" t="s">
        <v>15</v>
      </c>
      <c r="I2287" s="3" t="str">
        <f>"3"</f>
        <v>3</v>
      </c>
      <c r="J2287" s="3">
        <v>51.4</v>
      </c>
      <c r="K2287" s="2">
        <v>45833</v>
      </c>
      <c r="L2287" s="2">
        <v>45854</v>
      </c>
      <c r="M2287" s="1" t="s">
        <v>5191</v>
      </c>
      <c r="N2287" s="1" t="s">
        <v>5190</v>
      </c>
    </row>
    <row r="2288" spans="1:14" x14ac:dyDescent="0.35">
      <c r="A2288" s="1" t="s">
        <v>4321</v>
      </c>
      <c r="B2288" s="3" t="s">
        <v>1977</v>
      </c>
      <c r="C2288" s="1" t="s">
        <v>4493</v>
      </c>
      <c r="D2288" s="1" t="s">
        <v>5189</v>
      </c>
      <c r="E2288" s="1" t="str">
        <f>"8465"</f>
        <v>8465</v>
      </c>
      <c r="F2288" s="1" t="str">
        <f>"015247635"</f>
        <v>015247635</v>
      </c>
      <c r="G2288" s="1" t="s">
        <v>1618</v>
      </c>
      <c r="H2288" s="1" t="s">
        <v>15</v>
      </c>
      <c r="I2288" s="3" t="str">
        <f>"1"</f>
        <v>1</v>
      </c>
      <c r="J2288" s="3">
        <v>125.86</v>
      </c>
      <c r="K2288" s="2">
        <v>45833</v>
      </c>
      <c r="L2288" s="2">
        <v>45854</v>
      </c>
      <c r="M2288" s="1" t="s">
        <v>4491</v>
      </c>
      <c r="N2288" s="1" t="s">
        <v>5188</v>
      </c>
    </row>
    <row r="2289" spans="1:14" x14ac:dyDescent="0.35">
      <c r="A2289" s="1" t="s">
        <v>4321</v>
      </c>
      <c r="B2289" s="3" t="s">
        <v>1977</v>
      </c>
      <c r="C2289" s="1" t="s">
        <v>4493</v>
      </c>
      <c r="D2289" s="1" t="s">
        <v>5187</v>
      </c>
      <c r="E2289" s="1" t="str">
        <f>"8465"</f>
        <v>8465</v>
      </c>
      <c r="F2289" s="1" t="str">
        <f>"015893866"</f>
        <v>015893866</v>
      </c>
      <c r="G2289" s="1" t="s">
        <v>2124</v>
      </c>
      <c r="H2289" s="1" t="s">
        <v>15</v>
      </c>
      <c r="I2289" s="3" t="str">
        <f>"1"</f>
        <v>1</v>
      </c>
      <c r="J2289" s="3">
        <v>219.87</v>
      </c>
      <c r="K2289" s="2">
        <v>45825</v>
      </c>
      <c r="L2289" s="2">
        <v>45854</v>
      </c>
      <c r="M2289" s="1" t="s">
        <v>5184</v>
      </c>
      <c r="N2289" s="1" t="s">
        <v>5186</v>
      </c>
    </row>
    <row r="2290" spans="1:14" x14ac:dyDescent="0.35">
      <c r="A2290" s="1" t="s">
        <v>4321</v>
      </c>
      <c r="B2290" s="3" t="s">
        <v>1977</v>
      </c>
      <c r="C2290" s="1" t="s">
        <v>4493</v>
      </c>
      <c r="D2290" s="1" t="s">
        <v>5185</v>
      </c>
      <c r="E2290" s="1" t="str">
        <f>"8465"</f>
        <v>8465</v>
      </c>
      <c r="F2290" s="1" t="str">
        <f>"015893872"</f>
        <v>015893872</v>
      </c>
      <c r="G2290" s="1" t="s">
        <v>2124</v>
      </c>
      <c r="H2290" s="1" t="s">
        <v>15</v>
      </c>
      <c r="I2290" s="3" t="str">
        <f>"2"</f>
        <v>2</v>
      </c>
      <c r="J2290" s="3">
        <v>219.87</v>
      </c>
      <c r="K2290" s="2">
        <v>45825</v>
      </c>
      <c r="L2290" s="2">
        <v>45854</v>
      </c>
      <c r="M2290" s="1" t="s">
        <v>5184</v>
      </c>
      <c r="N2290" s="1" t="s">
        <v>5183</v>
      </c>
    </row>
    <row r="2291" spans="1:14" x14ac:dyDescent="0.35">
      <c r="A2291" s="1" t="s">
        <v>4321</v>
      </c>
      <c r="B2291" s="3" t="s">
        <v>1977</v>
      </c>
      <c r="C2291" s="1" t="s">
        <v>4493</v>
      </c>
      <c r="D2291" s="1" t="s">
        <v>5182</v>
      </c>
      <c r="E2291" s="1" t="str">
        <f>"4440"</f>
        <v>4440</v>
      </c>
      <c r="F2291" s="1" t="s">
        <v>5181</v>
      </c>
      <c r="G2291" s="1" t="s">
        <v>5180</v>
      </c>
      <c r="H2291" s="1" t="s">
        <v>15</v>
      </c>
      <c r="I2291" s="3" t="str">
        <f>"1"</f>
        <v>1</v>
      </c>
      <c r="J2291" s="3" t="str">
        <f>"228"</f>
        <v>228</v>
      </c>
      <c r="K2291" s="2">
        <v>45825</v>
      </c>
      <c r="L2291" s="2">
        <v>45854</v>
      </c>
      <c r="M2291" s="1" t="s">
        <v>5179</v>
      </c>
      <c r="N2291" s="1" t="s">
        <v>5178</v>
      </c>
    </row>
    <row r="2292" spans="1:14" x14ac:dyDescent="0.35">
      <c r="A2292" s="1" t="s">
        <v>4321</v>
      </c>
      <c r="B2292" s="3" t="s">
        <v>1977</v>
      </c>
      <c r="C2292" s="1" t="s">
        <v>4493</v>
      </c>
      <c r="D2292" s="1" t="s">
        <v>5177</v>
      </c>
      <c r="E2292" s="1" t="str">
        <f>"6545"</f>
        <v>6545</v>
      </c>
      <c r="F2292" s="1" t="str">
        <f>"015300929"</f>
        <v>015300929</v>
      </c>
      <c r="G2292" s="1" t="s">
        <v>293</v>
      </c>
      <c r="H2292" s="1" t="s">
        <v>19</v>
      </c>
      <c r="I2292" s="3" t="str">
        <f>"12"</f>
        <v>12</v>
      </c>
      <c r="J2292" s="3">
        <v>62.81</v>
      </c>
      <c r="K2292" s="2">
        <v>45824</v>
      </c>
      <c r="L2292" s="2">
        <v>45854</v>
      </c>
      <c r="M2292" s="1" t="s">
        <v>5176</v>
      </c>
      <c r="N2292" s="1" t="s">
        <v>5175</v>
      </c>
    </row>
    <row r="2293" spans="1:14" x14ac:dyDescent="0.35">
      <c r="A2293" s="1" t="s">
        <v>4321</v>
      </c>
      <c r="B2293" s="3" t="s">
        <v>1977</v>
      </c>
      <c r="C2293" s="1" t="s">
        <v>4493</v>
      </c>
      <c r="D2293" s="1" t="s">
        <v>5174</v>
      </c>
      <c r="E2293" s="1" t="str">
        <f>"8145"</f>
        <v>8145</v>
      </c>
      <c r="F2293" s="1" t="s">
        <v>2742</v>
      </c>
      <c r="G2293" s="1" t="s">
        <v>2743</v>
      </c>
      <c r="H2293" s="1" t="s">
        <v>15</v>
      </c>
      <c r="I2293" s="3" t="str">
        <f>"16"</f>
        <v>16</v>
      </c>
      <c r="J2293" s="3" t="str">
        <f>"50"</f>
        <v>50</v>
      </c>
      <c r="K2293" s="2">
        <v>45824</v>
      </c>
      <c r="L2293" s="2">
        <v>45854</v>
      </c>
      <c r="M2293" s="1" t="s">
        <v>5173</v>
      </c>
      <c r="N2293" s="1" t="s">
        <v>5172</v>
      </c>
    </row>
    <row r="2294" spans="1:14" x14ac:dyDescent="0.35">
      <c r="A2294" s="1" t="s">
        <v>4321</v>
      </c>
      <c r="B2294" s="3" t="s">
        <v>1977</v>
      </c>
      <c r="C2294" s="1" t="s">
        <v>4493</v>
      </c>
      <c r="D2294" s="1" t="s">
        <v>5171</v>
      </c>
      <c r="E2294" s="1" t="str">
        <f>"8405"</f>
        <v>8405</v>
      </c>
      <c r="F2294" s="1" t="str">
        <f>"015472559"</f>
        <v>015472559</v>
      </c>
      <c r="G2294" s="1" t="s">
        <v>964</v>
      </c>
      <c r="H2294" s="1" t="s">
        <v>15</v>
      </c>
      <c r="I2294" s="3" t="str">
        <f>"56"</f>
        <v>56</v>
      </c>
      <c r="J2294" s="3">
        <v>39.92</v>
      </c>
      <c r="K2294" s="2">
        <v>45824</v>
      </c>
      <c r="L2294" s="2">
        <v>45854</v>
      </c>
      <c r="M2294" s="1" t="s">
        <v>5170</v>
      </c>
      <c r="N2294" s="1" t="s">
        <v>5169</v>
      </c>
    </row>
    <row r="2295" spans="1:14" x14ac:dyDescent="0.35">
      <c r="A2295" s="1" t="s">
        <v>4321</v>
      </c>
      <c r="B2295" s="3" t="s">
        <v>3513</v>
      </c>
      <c r="C2295" s="1" t="s">
        <v>4547</v>
      </c>
      <c r="D2295" s="1" t="s">
        <v>5168</v>
      </c>
      <c r="E2295" s="1" t="str">
        <f>"1730"</f>
        <v>1730</v>
      </c>
      <c r="F2295" s="1" t="str">
        <f>"016824356"</f>
        <v>016824356</v>
      </c>
      <c r="G2295" s="1" t="s">
        <v>5167</v>
      </c>
      <c r="H2295" s="1" t="s">
        <v>15</v>
      </c>
      <c r="I2295" s="3" t="str">
        <f>"2"</f>
        <v>2</v>
      </c>
      <c r="J2295" s="3" t="str">
        <f>"23000"</f>
        <v>23000</v>
      </c>
      <c r="K2295" s="2">
        <v>45824</v>
      </c>
      <c r="L2295" s="2">
        <v>45854</v>
      </c>
      <c r="M2295" s="1" t="s">
        <v>5166</v>
      </c>
      <c r="N2295" s="1" t="s">
        <v>5165</v>
      </c>
    </row>
    <row r="2296" spans="1:14" x14ac:dyDescent="0.35">
      <c r="A2296" s="1" t="s">
        <v>4321</v>
      </c>
      <c r="B2296" s="3" t="s">
        <v>2638</v>
      </c>
      <c r="C2296" s="1" t="s">
        <v>2654</v>
      </c>
      <c r="D2296" s="1" t="s">
        <v>5164</v>
      </c>
      <c r="E2296" s="1" t="str">
        <f>"5855"</f>
        <v>5855</v>
      </c>
      <c r="F2296" s="1" t="str">
        <f>"015851631"</f>
        <v>015851631</v>
      </c>
      <c r="G2296" s="1" t="s">
        <v>4437</v>
      </c>
      <c r="H2296" s="1" t="s">
        <v>15</v>
      </c>
      <c r="I2296" s="3" t="str">
        <f>"2"</f>
        <v>2</v>
      </c>
      <c r="J2296" s="3">
        <v>9912.81</v>
      </c>
      <c r="K2296" s="2">
        <v>45852</v>
      </c>
      <c r="L2296" s="2">
        <v>45853</v>
      </c>
      <c r="M2296" s="1" t="s">
        <v>5163</v>
      </c>
      <c r="N2296" s="1" t="s">
        <v>5162</v>
      </c>
    </row>
    <row r="2297" spans="1:14" x14ac:dyDescent="0.35">
      <c r="A2297" s="1" t="s">
        <v>4321</v>
      </c>
      <c r="B2297" s="3" t="s">
        <v>1407</v>
      </c>
      <c r="C2297" s="1" t="s">
        <v>1408</v>
      </c>
      <c r="D2297" s="1" t="s">
        <v>5161</v>
      </c>
      <c r="E2297" s="1" t="str">
        <f>"6230"</f>
        <v>6230</v>
      </c>
      <c r="F2297" s="1" t="str">
        <f>"015912518"</f>
        <v>015912518</v>
      </c>
      <c r="G2297" s="1" t="s">
        <v>538</v>
      </c>
      <c r="H2297" s="1" t="s">
        <v>15</v>
      </c>
      <c r="I2297" s="3" t="str">
        <f>"32"</f>
        <v>32</v>
      </c>
      <c r="J2297" s="3">
        <v>487.2</v>
      </c>
      <c r="K2297" s="2">
        <v>45852</v>
      </c>
      <c r="L2297" s="2">
        <v>45853</v>
      </c>
      <c r="M2297" s="1" t="s">
        <v>5160</v>
      </c>
      <c r="N2297" s="1" t="s">
        <v>4343</v>
      </c>
    </row>
    <row r="2298" spans="1:14" x14ac:dyDescent="0.35">
      <c r="A2298" s="1" t="s">
        <v>4321</v>
      </c>
      <c r="B2298" s="3" t="s">
        <v>3183</v>
      </c>
      <c r="C2298" s="1" t="s">
        <v>3364</v>
      </c>
      <c r="D2298" s="1" t="s">
        <v>5159</v>
      </c>
      <c r="E2298" s="1" t="str">
        <f>"5965"</f>
        <v>5965</v>
      </c>
      <c r="F2298" s="1" t="str">
        <f>"016908834"</f>
        <v>016908834</v>
      </c>
      <c r="G2298" s="1" t="s">
        <v>1389</v>
      </c>
      <c r="H2298" s="1" t="s">
        <v>15</v>
      </c>
      <c r="I2298" s="3" t="str">
        <f>"15"</f>
        <v>15</v>
      </c>
      <c r="J2298" s="3">
        <v>1799.8</v>
      </c>
      <c r="K2298" s="2">
        <v>45852</v>
      </c>
      <c r="L2298" s="2">
        <v>45853</v>
      </c>
      <c r="M2298" s="1" t="s">
        <v>5158</v>
      </c>
      <c r="N2298" s="1" t="s">
        <v>4343</v>
      </c>
    </row>
    <row r="2299" spans="1:14" x14ac:dyDescent="0.35">
      <c r="A2299" s="1" t="s">
        <v>4321</v>
      </c>
      <c r="B2299" s="3" t="s">
        <v>5157</v>
      </c>
      <c r="C2299" s="1" t="s">
        <v>5156</v>
      </c>
      <c r="D2299" s="1" t="s">
        <v>5155</v>
      </c>
      <c r="E2299" s="1" t="str">
        <f>"6230"</f>
        <v>6230</v>
      </c>
      <c r="F2299" s="1" t="str">
        <f>"015912518"</f>
        <v>015912518</v>
      </c>
      <c r="G2299" s="1" t="s">
        <v>538</v>
      </c>
      <c r="H2299" s="1" t="s">
        <v>15</v>
      </c>
      <c r="I2299" s="3" t="str">
        <f>"10"</f>
        <v>10</v>
      </c>
      <c r="J2299" s="3">
        <v>487.2</v>
      </c>
      <c r="K2299" s="2">
        <v>45851</v>
      </c>
      <c r="L2299" s="2">
        <v>45853</v>
      </c>
      <c r="M2299" s="1" t="s">
        <v>5154</v>
      </c>
      <c r="N2299" s="1" t="s">
        <v>4343</v>
      </c>
    </row>
    <row r="2300" spans="1:14" x14ac:dyDescent="0.35">
      <c r="A2300" s="1" t="s">
        <v>4321</v>
      </c>
      <c r="B2300" s="3" t="s">
        <v>3183</v>
      </c>
      <c r="C2300" s="1" t="s">
        <v>3184</v>
      </c>
      <c r="D2300" s="1" t="s">
        <v>5153</v>
      </c>
      <c r="E2300" s="1" t="str">
        <f>"2330"</f>
        <v>2330</v>
      </c>
      <c r="F2300" s="1" t="s">
        <v>70</v>
      </c>
      <c r="G2300" s="1" t="s">
        <v>71</v>
      </c>
      <c r="H2300" s="1" t="s">
        <v>15</v>
      </c>
      <c r="I2300" s="3" t="str">
        <f>"1"</f>
        <v>1</v>
      </c>
      <c r="J2300" s="3" t="str">
        <f>"20422"</f>
        <v>20422</v>
      </c>
      <c r="K2300" s="2">
        <v>45850</v>
      </c>
      <c r="L2300" s="2">
        <v>45853</v>
      </c>
      <c r="M2300" s="1" t="s">
        <v>5152</v>
      </c>
      <c r="N2300" s="1" t="s">
        <v>5151</v>
      </c>
    </row>
    <row r="2301" spans="1:14" x14ac:dyDescent="0.35">
      <c r="A2301" s="1" t="s">
        <v>4321</v>
      </c>
      <c r="B2301" s="3" t="s">
        <v>3183</v>
      </c>
      <c r="C2301" s="1" t="s">
        <v>3184</v>
      </c>
      <c r="D2301" s="1" t="s">
        <v>5153</v>
      </c>
      <c r="E2301" s="1" t="str">
        <f>"2330"</f>
        <v>2330</v>
      </c>
      <c r="F2301" s="1" t="s">
        <v>70</v>
      </c>
      <c r="G2301" s="1" t="s">
        <v>71</v>
      </c>
      <c r="H2301" s="1" t="s">
        <v>15</v>
      </c>
      <c r="I2301" s="3" t="str">
        <f>"1"</f>
        <v>1</v>
      </c>
      <c r="J2301" s="3" t="str">
        <f>"20422"</f>
        <v>20422</v>
      </c>
      <c r="K2301" s="2">
        <v>45850</v>
      </c>
      <c r="L2301" s="2">
        <v>45853</v>
      </c>
      <c r="M2301" s="1" t="s">
        <v>5152</v>
      </c>
      <c r="N2301" s="1" t="s">
        <v>5151</v>
      </c>
    </row>
    <row r="2302" spans="1:14" x14ac:dyDescent="0.35">
      <c r="A2302" s="1" t="s">
        <v>4321</v>
      </c>
      <c r="B2302" s="3" t="s">
        <v>2114</v>
      </c>
      <c r="C2302" s="1" t="s">
        <v>2115</v>
      </c>
      <c r="D2302" s="1" t="s">
        <v>5150</v>
      </c>
      <c r="E2302" s="1" t="str">
        <f>"5110"</f>
        <v>5110</v>
      </c>
      <c r="F2302" s="1" t="str">
        <f>"001882524"</f>
        <v>001882524</v>
      </c>
      <c r="G2302" s="1" t="s">
        <v>5149</v>
      </c>
      <c r="H2302" s="1" t="s">
        <v>15</v>
      </c>
      <c r="I2302" s="3" t="str">
        <f>"1"</f>
        <v>1</v>
      </c>
      <c r="J2302" s="3">
        <v>198.58</v>
      </c>
      <c r="K2302" s="2">
        <v>45850</v>
      </c>
      <c r="L2302" s="2">
        <v>45853</v>
      </c>
      <c r="M2302" s="1" t="s">
        <v>5148</v>
      </c>
      <c r="N2302" s="1" t="s">
        <v>4343</v>
      </c>
    </row>
    <row r="2303" spans="1:14" x14ac:dyDescent="0.35">
      <c r="A2303" s="1" t="s">
        <v>4321</v>
      </c>
      <c r="B2303" s="3" t="s">
        <v>3885</v>
      </c>
      <c r="C2303" s="1" t="s">
        <v>3901</v>
      </c>
      <c r="D2303" s="1" t="s">
        <v>5147</v>
      </c>
      <c r="E2303" s="1" t="str">
        <f>"7240"</f>
        <v>7240</v>
      </c>
      <c r="F2303" s="1" t="str">
        <f>"001776154"</f>
        <v>001776154</v>
      </c>
      <c r="G2303" s="1" t="s">
        <v>5146</v>
      </c>
      <c r="H2303" s="1" t="s">
        <v>15</v>
      </c>
      <c r="I2303" s="3" t="str">
        <f>"5"</f>
        <v>5</v>
      </c>
      <c r="J2303" s="3">
        <v>13.86</v>
      </c>
      <c r="K2303" s="2">
        <v>45848</v>
      </c>
      <c r="L2303" s="2">
        <v>45853</v>
      </c>
      <c r="M2303" s="1" t="s">
        <v>5145</v>
      </c>
      <c r="N2303" s="1" t="s">
        <v>5144</v>
      </c>
    </row>
    <row r="2304" spans="1:14" x14ac:dyDescent="0.35">
      <c r="A2304" s="1" t="s">
        <v>4321</v>
      </c>
      <c r="B2304" s="3" t="s">
        <v>93</v>
      </c>
      <c r="C2304" s="1" t="s">
        <v>369</v>
      </c>
      <c r="D2304" s="1" t="s">
        <v>5143</v>
      </c>
      <c r="E2304" s="1" t="str">
        <f>"4910"</f>
        <v>4910</v>
      </c>
      <c r="F2304" s="1" t="s">
        <v>264</v>
      </c>
      <c r="G2304" s="1" t="s">
        <v>265</v>
      </c>
      <c r="H2304" s="1" t="s">
        <v>15</v>
      </c>
      <c r="I2304" s="3" t="str">
        <f>"2"</f>
        <v>2</v>
      </c>
      <c r="J2304" s="3">
        <v>12249.99</v>
      </c>
      <c r="K2304" s="2">
        <v>45848</v>
      </c>
      <c r="L2304" s="2">
        <v>45853</v>
      </c>
      <c r="M2304" s="1" t="s">
        <v>5142</v>
      </c>
      <c r="N2304" s="1" t="s">
        <v>4343</v>
      </c>
    </row>
    <row r="2305" spans="1:14" x14ac:dyDescent="0.35">
      <c r="A2305" s="1" t="s">
        <v>4321</v>
      </c>
      <c r="B2305" s="3" t="s">
        <v>1445</v>
      </c>
      <c r="C2305" s="1" t="s">
        <v>1459</v>
      </c>
      <c r="D2305" s="1" t="s">
        <v>5141</v>
      </c>
      <c r="E2305" s="1" t="str">
        <f>"6515"</f>
        <v>6515</v>
      </c>
      <c r="F2305" s="1" t="str">
        <f>"015217505"</f>
        <v>015217505</v>
      </c>
      <c r="G2305" s="1" t="s">
        <v>1530</v>
      </c>
      <c r="H2305" s="1" t="s">
        <v>1084</v>
      </c>
      <c r="I2305" s="3" t="str">
        <f>"1"</f>
        <v>1</v>
      </c>
      <c r="J2305" s="3">
        <v>32.6</v>
      </c>
      <c r="K2305" s="2">
        <v>45847</v>
      </c>
      <c r="L2305" s="2">
        <v>45853</v>
      </c>
      <c r="M2305" s="1" t="s">
        <v>1533</v>
      </c>
      <c r="N2305" s="1" t="s">
        <v>5140</v>
      </c>
    </row>
    <row r="2306" spans="1:14" x14ac:dyDescent="0.35">
      <c r="A2306" s="1" t="s">
        <v>4321</v>
      </c>
      <c r="B2306" s="3" t="s">
        <v>93</v>
      </c>
      <c r="C2306" s="1" t="s">
        <v>446</v>
      </c>
      <c r="D2306" s="1" t="s">
        <v>5139</v>
      </c>
      <c r="E2306" s="1" t="str">
        <f>"7830"</f>
        <v>7830</v>
      </c>
      <c r="F2306" s="1" t="str">
        <f>"010839302"</f>
        <v>010839302</v>
      </c>
      <c r="G2306" s="1" t="s">
        <v>5138</v>
      </c>
      <c r="H2306" s="1" t="s">
        <v>15</v>
      </c>
      <c r="I2306" s="3" t="str">
        <f>"1"</f>
        <v>1</v>
      </c>
      <c r="J2306" s="3">
        <v>386.4</v>
      </c>
      <c r="K2306" s="2">
        <v>45846</v>
      </c>
      <c r="L2306" s="2">
        <v>45853</v>
      </c>
      <c r="M2306" s="1" t="s">
        <v>5137</v>
      </c>
      <c r="N2306" s="1" t="s">
        <v>5136</v>
      </c>
    </row>
    <row r="2307" spans="1:14" x14ac:dyDescent="0.35">
      <c r="A2307" s="1" t="s">
        <v>4321</v>
      </c>
      <c r="B2307" s="3" t="s">
        <v>1445</v>
      </c>
      <c r="C2307" s="1" t="s">
        <v>1459</v>
      </c>
      <c r="D2307" s="1" t="s">
        <v>5135</v>
      </c>
      <c r="E2307" s="1" t="str">
        <f>"6720"</f>
        <v>6720</v>
      </c>
      <c r="F2307" s="1" t="s">
        <v>443</v>
      </c>
      <c r="G2307" s="1" t="s">
        <v>444</v>
      </c>
      <c r="H2307" s="1" t="s">
        <v>15</v>
      </c>
      <c r="I2307" s="3" t="str">
        <f>"16"</f>
        <v>16</v>
      </c>
      <c r="J2307" s="3" t="str">
        <f>"3300"</f>
        <v>3300</v>
      </c>
      <c r="K2307" s="2">
        <v>45842</v>
      </c>
      <c r="L2307" s="2">
        <v>45853</v>
      </c>
      <c r="M2307" s="1" t="s">
        <v>5132</v>
      </c>
      <c r="N2307" s="1" t="s">
        <v>5134</v>
      </c>
    </row>
    <row r="2308" spans="1:14" x14ac:dyDescent="0.35">
      <c r="A2308" s="1" t="s">
        <v>4321</v>
      </c>
      <c r="B2308" s="3" t="s">
        <v>1445</v>
      </c>
      <c r="C2308" s="1" t="s">
        <v>1459</v>
      </c>
      <c r="D2308" s="1" t="s">
        <v>5133</v>
      </c>
      <c r="E2308" s="1" t="str">
        <f>"6720"</f>
        <v>6720</v>
      </c>
      <c r="F2308" s="1" t="s">
        <v>443</v>
      </c>
      <c r="G2308" s="1" t="s">
        <v>444</v>
      </c>
      <c r="H2308" s="1" t="s">
        <v>15</v>
      </c>
      <c r="I2308" s="3" t="str">
        <f>"16"</f>
        <v>16</v>
      </c>
      <c r="J2308" s="3" t="str">
        <f>"3300"</f>
        <v>3300</v>
      </c>
      <c r="K2308" s="2">
        <v>45842</v>
      </c>
      <c r="L2308" s="2">
        <v>45853</v>
      </c>
      <c r="M2308" s="1" t="s">
        <v>5132</v>
      </c>
      <c r="N2308" s="1" t="s">
        <v>5131</v>
      </c>
    </row>
    <row r="2309" spans="1:14" x14ac:dyDescent="0.35">
      <c r="A2309" s="1" t="s">
        <v>4321</v>
      </c>
      <c r="B2309" s="3" t="s">
        <v>2145</v>
      </c>
      <c r="C2309" s="1" t="s">
        <v>5130</v>
      </c>
      <c r="D2309" s="1" t="s">
        <v>5129</v>
      </c>
      <c r="E2309" s="1" t="str">
        <f>"5965"</f>
        <v>5965</v>
      </c>
      <c r="F2309" s="1" t="str">
        <f>"016488042"</f>
        <v>016488042</v>
      </c>
      <c r="G2309" s="1" t="s">
        <v>1389</v>
      </c>
      <c r="H2309" s="1" t="s">
        <v>15</v>
      </c>
      <c r="I2309" s="3" t="str">
        <f>"12"</f>
        <v>12</v>
      </c>
      <c r="J2309" s="3">
        <v>593.34</v>
      </c>
      <c r="K2309" s="2">
        <v>45789</v>
      </c>
      <c r="L2309" s="2">
        <v>45853</v>
      </c>
      <c r="M2309" s="1" t="s">
        <v>5128</v>
      </c>
      <c r="N2309" s="1" t="s">
        <v>5127</v>
      </c>
    </row>
    <row r="2310" spans="1:14" x14ac:dyDescent="0.35">
      <c r="A2310" s="1" t="s">
        <v>4321</v>
      </c>
      <c r="B2310" s="3" t="s">
        <v>3885</v>
      </c>
      <c r="C2310" s="1" t="s">
        <v>3901</v>
      </c>
      <c r="D2310" s="1" t="s">
        <v>5126</v>
      </c>
      <c r="E2310" s="1" t="str">
        <f>"7530"</f>
        <v>7530</v>
      </c>
      <c r="F2310" s="1" t="str">
        <f>"015038449"</f>
        <v>015038449</v>
      </c>
      <c r="G2310" s="1" t="s">
        <v>5125</v>
      </c>
      <c r="H2310" s="1" t="s">
        <v>290</v>
      </c>
      <c r="I2310" s="3" t="str">
        <f>"15"</f>
        <v>15</v>
      </c>
      <c r="J2310" s="3">
        <v>188.19</v>
      </c>
      <c r="K2310" s="2">
        <v>45756</v>
      </c>
      <c r="L2310" s="2">
        <v>45853</v>
      </c>
      <c r="M2310" s="1" t="s">
        <v>5124</v>
      </c>
      <c r="N2310" s="1" t="s">
        <v>5123</v>
      </c>
    </row>
    <row r="2311" spans="1:14" x14ac:dyDescent="0.35">
      <c r="A2311" s="1" t="s">
        <v>4321</v>
      </c>
      <c r="B2311" s="3" t="s">
        <v>93</v>
      </c>
      <c r="C2311" s="1" t="s">
        <v>319</v>
      </c>
      <c r="D2311" s="1" t="s">
        <v>5122</v>
      </c>
      <c r="E2311" s="1" t="str">
        <f>"3805"</f>
        <v>3805</v>
      </c>
      <c r="F2311" s="1" t="s">
        <v>2913</v>
      </c>
      <c r="G2311" s="1" t="s">
        <v>2914</v>
      </c>
      <c r="H2311" s="1" t="s">
        <v>15</v>
      </c>
      <c r="I2311" s="3" t="str">
        <f>"1"</f>
        <v>1</v>
      </c>
      <c r="J2311" s="3" t="str">
        <f>"5000"</f>
        <v>5000</v>
      </c>
      <c r="K2311" s="2">
        <v>45841</v>
      </c>
      <c r="L2311" s="2">
        <v>45852</v>
      </c>
      <c r="M2311" s="1" t="s">
        <v>5121</v>
      </c>
      <c r="N2311" s="1" t="s">
        <v>5120</v>
      </c>
    </row>
    <row r="2312" spans="1:14" x14ac:dyDescent="0.35">
      <c r="A2312" s="1" t="s">
        <v>4321</v>
      </c>
      <c r="B2312" s="3" t="s">
        <v>3513</v>
      </c>
      <c r="C2312" s="1" t="s">
        <v>3801</v>
      </c>
      <c r="D2312" s="1" t="s">
        <v>5119</v>
      </c>
      <c r="E2312" s="1" t="str">
        <f>"6720"</f>
        <v>6720</v>
      </c>
      <c r="F2312" s="1" t="s">
        <v>443</v>
      </c>
      <c r="G2312" s="1" t="s">
        <v>444</v>
      </c>
      <c r="H2312" s="1" t="s">
        <v>15</v>
      </c>
      <c r="I2312" s="3" t="str">
        <f>"9"</f>
        <v>9</v>
      </c>
      <c r="J2312" s="3" t="str">
        <f>"3300"</f>
        <v>3300</v>
      </c>
      <c r="K2312" s="2">
        <v>45836</v>
      </c>
      <c r="L2312" s="2">
        <v>45852</v>
      </c>
      <c r="M2312" s="1" t="s">
        <v>5118</v>
      </c>
      <c r="N2312" s="1" t="s">
        <v>5117</v>
      </c>
    </row>
    <row r="2313" spans="1:14" x14ac:dyDescent="0.35">
      <c r="A2313" s="1" t="s">
        <v>4321</v>
      </c>
      <c r="B2313" s="3" t="s">
        <v>2145</v>
      </c>
      <c r="C2313" s="1" t="s">
        <v>2216</v>
      </c>
      <c r="D2313" s="1" t="s">
        <v>5116</v>
      </c>
      <c r="E2313" s="1" t="str">
        <f>"4240"</f>
        <v>4240</v>
      </c>
      <c r="F2313" s="1" t="str">
        <f>"005744098"</f>
        <v>005744098</v>
      </c>
      <c r="G2313" s="1" t="s">
        <v>1787</v>
      </c>
      <c r="H2313" s="1" t="s">
        <v>15</v>
      </c>
      <c r="I2313" s="3" t="str">
        <f>"1"</f>
        <v>1</v>
      </c>
      <c r="J2313" s="3" t="str">
        <f>"4286"</f>
        <v>4286</v>
      </c>
      <c r="K2313" s="2">
        <v>45825</v>
      </c>
      <c r="L2313" s="2">
        <v>45852</v>
      </c>
      <c r="M2313" s="1" t="s">
        <v>5115</v>
      </c>
      <c r="N2313" s="1" t="s">
        <v>5114</v>
      </c>
    </row>
    <row r="2314" spans="1:14" x14ac:dyDescent="0.35">
      <c r="A2314" s="1" t="s">
        <v>4321</v>
      </c>
      <c r="B2314" s="3" t="s">
        <v>2145</v>
      </c>
      <c r="C2314" s="1" t="s">
        <v>2216</v>
      </c>
      <c r="D2314" s="1" t="s">
        <v>5113</v>
      </c>
      <c r="E2314" s="1" t="str">
        <f>"2310"</f>
        <v>2310</v>
      </c>
      <c r="F2314" s="1" t="str">
        <f>"011112274"</f>
        <v>011112274</v>
      </c>
      <c r="G2314" s="1" t="s">
        <v>2218</v>
      </c>
      <c r="H2314" s="1" t="s">
        <v>15</v>
      </c>
      <c r="I2314" s="3" t="str">
        <f>"1"</f>
        <v>1</v>
      </c>
      <c r="J2314" s="3" t="str">
        <f>"96466"</f>
        <v>96466</v>
      </c>
      <c r="K2314" s="2">
        <v>45825</v>
      </c>
      <c r="L2314" s="2">
        <v>45852</v>
      </c>
      <c r="M2314" s="1" t="s">
        <v>5112</v>
      </c>
      <c r="N2314" s="1" t="s">
        <v>5111</v>
      </c>
    </row>
    <row r="2315" spans="1:14" x14ac:dyDescent="0.35">
      <c r="A2315" s="1" t="s">
        <v>4321</v>
      </c>
      <c r="B2315" s="3" t="s">
        <v>1407</v>
      </c>
      <c r="C2315" s="1" t="s">
        <v>1408</v>
      </c>
      <c r="D2315" s="1" t="s">
        <v>5110</v>
      </c>
      <c r="E2315" s="1" t="str">
        <f>"3750"</f>
        <v>3750</v>
      </c>
      <c r="F2315" s="1" t="s">
        <v>392</v>
      </c>
      <c r="G2315" s="1" t="s">
        <v>393</v>
      </c>
      <c r="H2315" s="1" t="s">
        <v>15</v>
      </c>
      <c r="I2315" s="3" t="str">
        <f>"2"</f>
        <v>2</v>
      </c>
      <c r="J2315" s="3" t="str">
        <f>"9685"</f>
        <v>9685</v>
      </c>
      <c r="K2315" s="2">
        <v>45821</v>
      </c>
      <c r="L2315" s="2">
        <v>45852</v>
      </c>
      <c r="N2315" s="1" t="s">
        <v>5109</v>
      </c>
    </row>
    <row r="2316" spans="1:14" x14ac:dyDescent="0.35">
      <c r="A2316" s="1" t="s">
        <v>4321</v>
      </c>
      <c r="B2316" s="3" t="s">
        <v>3105</v>
      </c>
      <c r="C2316" s="1" t="s">
        <v>3138</v>
      </c>
      <c r="D2316" s="1" t="s">
        <v>5108</v>
      </c>
      <c r="E2316" s="1" t="str">
        <f>"8465"</f>
        <v>8465</v>
      </c>
      <c r="F2316" s="1" t="s">
        <v>1621</v>
      </c>
      <c r="G2316" s="1" t="s">
        <v>1622</v>
      </c>
      <c r="H2316" s="1" t="s">
        <v>15</v>
      </c>
      <c r="I2316" s="3" t="str">
        <f>"40"</f>
        <v>40</v>
      </c>
      <c r="J2316" s="3" t="str">
        <f>"50"</f>
        <v>50</v>
      </c>
      <c r="K2316" s="2">
        <v>45817</v>
      </c>
      <c r="L2316" s="2">
        <v>45852</v>
      </c>
      <c r="M2316" s="1" t="s">
        <v>5107</v>
      </c>
      <c r="N2316" s="1" t="s">
        <v>5106</v>
      </c>
    </row>
    <row r="2317" spans="1:14" x14ac:dyDescent="0.35">
      <c r="A2317" s="1" t="s">
        <v>4321</v>
      </c>
      <c r="B2317" s="3" t="s">
        <v>601</v>
      </c>
      <c r="C2317" s="1" t="s">
        <v>5103</v>
      </c>
      <c r="D2317" s="1" t="s">
        <v>5105</v>
      </c>
      <c r="E2317" s="1" t="str">
        <f>"5855"</f>
        <v>5855</v>
      </c>
      <c r="F2317" s="1" t="str">
        <f>"016800712"</f>
        <v>016800712</v>
      </c>
      <c r="G2317" s="1" t="s">
        <v>2467</v>
      </c>
      <c r="H2317" s="1" t="s">
        <v>15</v>
      </c>
      <c r="I2317" s="3" t="str">
        <f>"5"</f>
        <v>5</v>
      </c>
      <c r="J2317" s="3" t="str">
        <f>"3000"</f>
        <v>3000</v>
      </c>
      <c r="K2317" s="2">
        <v>45815</v>
      </c>
      <c r="L2317" s="2">
        <v>45852</v>
      </c>
      <c r="M2317" s="1" t="s">
        <v>5101</v>
      </c>
      <c r="N2317" s="1" t="s">
        <v>5104</v>
      </c>
    </row>
    <row r="2318" spans="1:14" x14ac:dyDescent="0.35">
      <c r="A2318" s="1" t="s">
        <v>4321</v>
      </c>
      <c r="B2318" s="3" t="s">
        <v>601</v>
      </c>
      <c r="C2318" s="1" t="s">
        <v>5103</v>
      </c>
      <c r="D2318" s="1" t="s">
        <v>5102</v>
      </c>
      <c r="E2318" s="1" t="str">
        <f>"5855"</f>
        <v>5855</v>
      </c>
      <c r="F2318" s="1" t="str">
        <f>"016800712"</f>
        <v>016800712</v>
      </c>
      <c r="G2318" s="1" t="s">
        <v>2467</v>
      </c>
      <c r="H2318" s="1" t="s">
        <v>15</v>
      </c>
      <c r="I2318" s="3" t="str">
        <f>"5"</f>
        <v>5</v>
      </c>
      <c r="J2318" s="3" t="str">
        <f>"3000"</f>
        <v>3000</v>
      </c>
      <c r="K2318" s="2">
        <v>45815</v>
      </c>
      <c r="L2318" s="2">
        <v>45852</v>
      </c>
      <c r="M2318" s="1" t="s">
        <v>5101</v>
      </c>
      <c r="N2318" s="1" t="s">
        <v>5100</v>
      </c>
    </row>
    <row r="2319" spans="1:14" x14ac:dyDescent="0.35">
      <c r="A2319" s="1" t="s">
        <v>4321</v>
      </c>
      <c r="B2319" s="3" t="s">
        <v>93</v>
      </c>
      <c r="C2319" s="1" t="s">
        <v>319</v>
      </c>
      <c r="D2319" s="1" t="s">
        <v>5099</v>
      </c>
      <c r="E2319" s="1" t="str">
        <f>"2320"</f>
        <v>2320</v>
      </c>
      <c r="F2319" s="1" t="str">
        <f>"009261015"</f>
        <v>009261015</v>
      </c>
      <c r="G2319" s="1" t="s">
        <v>373</v>
      </c>
      <c r="H2319" s="1" t="s">
        <v>15</v>
      </c>
      <c r="I2319" s="3" t="str">
        <f>"1"</f>
        <v>1</v>
      </c>
      <c r="J2319" s="3" t="str">
        <f>"3312"</f>
        <v>3312</v>
      </c>
      <c r="K2319" s="2">
        <v>45815</v>
      </c>
      <c r="L2319" s="2">
        <v>45852</v>
      </c>
      <c r="M2319" s="1" t="s">
        <v>5098</v>
      </c>
      <c r="N2319" s="1" t="s">
        <v>5097</v>
      </c>
    </row>
    <row r="2320" spans="1:14" x14ac:dyDescent="0.35">
      <c r="A2320" s="1" t="s">
        <v>4321</v>
      </c>
      <c r="B2320" s="3" t="s">
        <v>1699</v>
      </c>
      <c r="C2320" s="1" t="s">
        <v>1815</v>
      </c>
      <c r="D2320" s="1" t="s">
        <v>5096</v>
      </c>
      <c r="E2320" s="1" t="str">
        <f>"3920"</f>
        <v>3920</v>
      </c>
      <c r="F2320" s="1" t="str">
        <f>"000598972"</f>
        <v>000598972</v>
      </c>
      <c r="G2320" s="1" t="s">
        <v>5095</v>
      </c>
      <c r="H2320" s="1" t="s">
        <v>15</v>
      </c>
      <c r="I2320" s="3" t="str">
        <f>"1"</f>
        <v>1</v>
      </c>
      <c r="J2320" s="3">
        <v>1140.1199999999999</v>
      </c>
      <c r="K2320" s="2">
        <v>45782</v>
      </c>
      <c r="L2320" s="2">
        <v>45852</v>
      </c>
      <c r="M2320" s="1" t="s">
        <v>5094</v>
      </c>
      <c r="N2320" s="1" t="s">
        <v>5093</v>
      </c>
    </row>
    <row r="2321" spans="1:14" x14ac:dyDescent="0.35">
      <c r="A2321" s="1" t="s">
        <v>4321</v>
      </c>
      <c r="B2321" s="3" t="s">
        <v>2248</v>
      </c>
      <c r="C2321" s="1" t="s">
        <v>2265</v>
      </c>
      <c r="D2321" s="1" t="s">
        <v>5092</v>
      </c>
      <c r="E2321" s="1" t="str">
        <f>"5855"</f>
        <v>5855</v>
      </c>
      <c r="F2321" s="1" t="str">
        <f>"016818941"</f>
        <v>016818941</v>
      </c>
      <c r="G2321" s="1" t="s">
        <v>2271</v>
      </c>
      <c r="H2321" s="1" t="s">
        <v>15</v>
      </c>
      <c r="I2321" s="3" t="str">
        <f>"5"</f>
        <v>5</v>
      </c>
      <c r="J2321" s="3" t="str">
        <f>"11000"</f>
        <v>11000</v>
      </c>
      <c r="K2321" s="2">
        <v>45849</v>
      </c>
      <c r="L2321" s="2">
        <v>45851</v>
      </c>
      <c r="M2321" s="1" t="s">
        <v>5091</v>
      </c>
      <c r="N2321" s="1" t="s">
        <v>4343</v>
      </c>
    </row>
    <row r="2322" spans="1:14" x14ac:dyDescent="0.35">
      <c r="A2322" s="1" t="s">
        <v>4321</v>
      </c>
      <c r="B2322" s="3" t="s">
        <v>2638</v>
      </c>
      <c r="C2322" s="1" t="s">
        <v>2654</v>
      </c>
      <c r="D2322" s="1" t="s">
        <v>5090</v>
      </c>
      <c r="E2322" s="1" t="str">
        <f>"5855"</f>
        <v>5855</v>
      </c>
      <c r="F2322" s="1" t="str">
        <f>"015096871"</f>
        <v>015096871</v>
      </c>
      <c r="G2322" s="1" t="s">
        <v>2151</v>
      </c>
      <c r="H2322" s="1" t="s">
        <v>15</v>
      </c>
      <c r="I2322" s="3" t="str">
        <f>"4"</f>
        <v>4</v>
      </c>
      <c r="J2322" s="3" t="str">
        <f>"15264"</f>
        <v>15264</v>
      </c>
      <c r="K2322" s="2">
        <v>45848</v>
      </c>
      <c r="L2322" s="2">
        <v>45851</v>
      </c>
      <c r="M2322" s="1" t="s">
        <v>5089</v>
      </c>
      <c r="N2322" s="1" t="s">
        <v>4343</v>
      </c>
    </row>
    <row r="2323" spans="1:14" x14ac:dyDescent="0.35">
      <c r="A2323" s="1" t="s">
        <v>4321</v>
      </c>
      <c r="B2323" s="3" t="s">
        <v>1445</v>
      </c>
      <c r="C2323" s="1" t="s">
        <v>1459</v>
      </c>
      <c r="D2323" s="1" t="s">
        <v>5088</v>
      </c>
      <c r="E2323" s="1" t="str">
        <f>"5860"</f>
        <v>5860</v>
      </c>
      <c r="F2323" s="1" t="str">
        <f>"013508551"</f>
        <v>013508551</v>
      </c>
      <c r="G2323" s="1" t="s">
        <v>5085</v>
      </c>
      <c r="H2323" s="1" t="s">
        <v>15</v>
      </c>
      <c r="I2323" s="3" t="str">
        <f>"1"</f>
        <v>1</v>
      </c>
      <c r="J2323" s="3" t="str">
        <f>"22015"</f>
        <v>22015</v>
      </c>
      <c r="K2323" s="2">
        <v>45847</v>
      </c>
      <c r="L2323" s="2">
        <v>45851</v>
      </c>
      <c r="M2323" s="1" t="s">
        <v>5087</v>
      </c>
      <c r="N2323" s="1" t="s">
        <v>4343</v>
      </c>
    </row>
    <row r="2324" spans="1:14" x14ac:dyDescent="0.35">
      <c r="A2324" s="1" t="s">
        <v>4321</v>
      </c>
      <c r="B2324" s="3" t="s">
        <v>1445</v>
      </c>
      <c r="C2324" s="1" t="s">
        <v>1459</v>
      </c>
      <c r="D2324" s="1" t="s">
        <v>5086</v>
      </c>
      <c r="E2324" s="1" t="str">
        <f>"5860"</f>
        <v>5860</v>
      </c>
      <c r="F2324" s="1" t="str">
        <f>"013508551"</f>
        <v>013508551</v>
      </c>
      <c r="G2324" s="1" t="s">
        <v>5085</v>
      </c>
      <c r="H2324" s="1" t="s">
        <v>15</v>
      </c>
      <c r="I2324" s="3" t="str">
        <f>"4"</f>
        <v>4</v>
      </c>
      <c r="J2324" s="3" t="str">
        <f>"22015"</f>
        <v>22015</v>
      </c>
      <c r="K2324" s="2">
        <v>45847</v>
      </c>
      <c r="L2324" s="2">
        <v>45851</v>
      </c>
      <c r="M2324" s="1" t="s">
        <v>5084</v>
      </c>
      <c r="N2324" s="1" t="s">
        <v>4343</v>
      </c>
    </row>
    <row r="2325" spans="1:14" x14ac:dyDescent="0.35">
      <c r="A2325" s="1" t="s">
        <v>4321</v>
      </c>
      <c r="B2325" s="3" t="s">
        <v>4253</v>
      </c>
      <c r="C2325" s="1" t="s">
        <v>4271</v>
      </c>
      <c r="D2325" s="1" t="s">
        <v>5083</v>
      </c>
      <c r="E2325" s="1" t="str">
        <f>"5855"</f>
        <v>5855</v>
      </c>
      <c r="F2325" s="1" t="str">
        <f>"015096871"</f>
        <v>015096871</v>
      </c>
      <c r="G2325" s="1" t="s">
        <v>2151</v>
      </c>
      <c r="H2325" s="1" t="s">
        <v>15</v>
      </c>
      <c r="I2325" s="3" t="str">
        <f>"1"</f>
        <v>1</v>
      </c>
      <c r="J2325" s="3" t="str">
        <f>"15264"</f>
        <v>15264</v>
      </c>
      <c r="K2325" s="2">
        <v>45847</v>
      </c>
      <c r="L2325" s="2">
        <v>45851</v>
      </c>
      <c r="M2325" s="1" t="s">
        <v>4998</v>
      </c>
      <c r="N2325" s="1" t="s">
        <v>4343</v>
      </c>
    </row>
    <row r="2326" spans="1:14" x14ac:dyDescent="0.35">
      <c r="A2326" s="1" t="s">
        <v>4321</v>
      </c>
      <c r="B2326" s="3" t="s">
        <v>4253</v>
      </c>
      <c r="C2326" s="1" t="s">
        <v>4271</v>
      </c>
      <c r="D2326" s="1" t="s">
        <v>5082</v>
      </c>
      <c r="E2326" s="1" t="str">
        <f>"5855"</f>
        <v>5855</v>
      </c>
      <c r="F2326" s="1" t="str">
        <f>"015096871"</f>
        <v>015096871</v>
      </c>
      <c r="G2326" s="1" t="s">
        <v>2151</v>
      </c>
      <c r="H2326" s="1" t="s">
        <v>15</v>
      </c>
      <c r="I2326" s="3" t="str">
        <f>"1"</f>
        <v>1</v>
      </c>
      <c r="J2326" s="3" t="str">
        <f>"15264"</f>
        <v>15264</v>
      </c>
      <c r="K2326" s="2">
        <v>45847</v>
      </c>
      <c r="L2326" s="2">
        <v>45851</v>
      </c>
      <c r="M2326" s="1" t="s">
        <v>4998</v>
      </c>
      <c r="N2326" s="1" t="s">
        <v>4343</v>
      </c>
    </row>
    <row r="2327" spans="1:14" x14ac:dyDescent="0.35">
      <c r="A2327" s="1" t="s">
        <v>4321</v>
      </c>
      <c r="B2327" s="3" t="s">
        <v>4253</v>
      </c>
      <c r="C2327" s="1" t="s">
        <v>4271</v>
      </c>
      <c r="D2327" s="1" t="s">
        <v>5081</v>
      </c>
      <c r="E2327" s="1" t="str">
        <f>"5855"</f>
        <v>5855</v>
      </c>
      <c r="F2327" s="1" t="str">
        <f>"015096871"</f>
        <v>015096871</v>
      </c>
      <c r="G2327" s="1" t="s">
        <v>2151</v>
      </c>
      <c r="H2327" s="1" t="s">
        <v>15</v>
      </c>
      <c r="I2327" s="3" t="str">
        <f>"1"</f>
        <v>1</v>
      </c>
      <c r="J2327" s="3" t="str">
        <f>"15264"</f>
        <v>15264</v>
      </c>
      <c r="K2327" s="2">
        <v>45847</v>
      </c>
      <c r="L2327" s="2">
        <v>45851</v>
      </c>
      <c r="M2327" s="1" t="s">
        <v>4998</v>
      </c>
      <c r="N2327" s="1" t="s">
        <v>4343</v>
      </c>
    </row>
    <row r="2328" spans="1:14" x14ac:dyDescent="0.35">
      <c r="A2328" s="1" t="s">
        <v>4321</v>
      </c>
      <c r="B2328" s="3" t="s">
        <v>4253</v>
      </c>
      <c r="C2328" s="1" t="s">
        <v>4271</v>
      </c>
      <c r="D2328" s="1" t="s">
        <v>5080</v>
      </c>
      <c r="E2328" s="1" t="str">
        <f>"5855"</f>
        <v>5855</v>
      </c>
      <c r="F2328" s="1" t="str">
        <f>"015096871"</f>
        <v>015096871</v>
      </c>
      <c r="G2328" s="1" t="s">
        <v>2151</v>
      </c>
      <c r="H2328" s="1" t="s">
        <v>15</v>
      </c>
      <c r="I2328" s="3" t="str">
        <f>"7"</f>
        <v>7</v>
      </c>
      <c r="J2328" s="3" t="str">
        <f>"15264"</f>
        <v>15264</v>
      </c>
      <c r="K2328" s="2">
        <v>45847</v>
      </c>
      <c r="L2328" s="2">
        <v>45851</v>
      </c>
      <c r="M2328" s="1" t="s">
        <v>4998</v>
      </c>
      <c r="N2328" s="1" t="s">
        <v>4343</v>
      </c>
    </row>
    <row r="2329" spans="1:14" x14ac:dyDescent="0.35">
      <c r="A2329" s="1" t="s">
        <v>4321</v>
      </c>
      <c r="B2329" s="3" t="s">
        <v>2000</v>
      </c>
      <c r="C2329" s="1" t="s">
        <v>5079</v>
      </c>
      <c r="D2329" s="1" t="s">
        <v>5078</v>
      </c>
      <c r="E2329" s="1" t="str">
        <f>"5855"</f>
        <v>5855</v>
      </c>
      <c r="F2329" s="1" t="str">
        <f>"015345931"</f>
        <v>015345931</v>
      </c>
      <c r="G2329" s="1" t="s">
        <v>703</v>
      </c>
      <c r="H2329" s="1" t="s">
        <v>15</v>
      </c>
      <c r="I2329" s="3" t="str">
        <f>"6"</f>
        <v>6</v>
      </c>
      <c r="J2329" s="3" t="str">
        <f>"976"</f>
        <v>976</v>
      </c>
      <c r="K2329" s="2">
        <v>45837</v>
      </c>
      <c r="L2329" s="2">
        <v>45851</v>
      </c>
      <c r="M2329" s="1" t="s">
        <v>5077</v>
      </c>
      <c r="N2329" s="1" t="s">
        <v>4343</v>
      </c>
    </row>
    <row r="2330" spans="1:14" x14ac:dyDescent="0.35">
      <c r="A2330" s="1" t="s">
        <v>4321</v>
      </c>
      <c r="B2330" s="3" t="s">
        <v>2000</v>
      </c>
      <c r="C2330" s="1" t="s">
        <v>5076</v>
      </c>
      <c r="D2330" s="1" t="s">
        <v>5075</v>
      </c>
      <c r="E2330" s="1" t="str">
        <f>"5855"</f>
        <v>5855</v>
      </c>
      <c r="F2330" s="1" t="str">
        <f>"015330555"</f>
        <v>015330555</v>
      </c>
      <c r="G2330" s="1" t="s">
        <v>2656</v>
      </c>
      <c r="H2330" s="1" t="s">
        <v>15</v>
      </c>
      <c r="I2330" s="3" t="str">
        <f>"22"</f>
        <v>22</v>
      </c>
      <c r="J2330" s="3" t="str">
        <f>"1800"</f>
        <v>1800</v>
      </c>
      <c r="K2330" s="2">
        <v>45848</v>
      </c>
      <c r="L2330" s="2">
        <v>45850</v>
      </c>
      <c r="M2330" s="1" t="s">
        <v>5074</v>
      </c>
      <c r="N2330" s="1" t="s">
        <v>5073</v>
      </c>
    </row>
    <row r="2331" spans="1:14" x14ac:dyDescent="0.35">
      <c r="A2331" s="1" t="s">
        <v>4321</v>
      </c>
      <c r="B2331" s="3" t="s">
        <v>3879</v>
      </c>
      <c r="C2331" s="1" t="s">
        <v>5072</v>
      </c>
      <c r="D2331" s="1" t="s">
        <v>5071</v>
      </c>
      <c r="E2331" s="1" t="str">
        <f>"5855"</f>
        <v>5855</v>
      </c>
      <c r="F2331" s="1" t="str">
        <f>"015330555"</f>
        <v>015330555</v>
      </c>
      <c r="G2331" s="1" t="s">
        <v>2656</v>
      </c>
      <c r="H2331" s="1" t="s">
        <v>15</v>
      </c>
      <c r="I2331" s="3" t="str">
        <f>"22"</f>
        <v>22</v>
      </c>
      <c r="J2331" s="3" t="str">
        <f>"1800"</f>
        <v>1800</v>
      </c>
      <c r="K2331" s="2">
        <v>45848</v>
      </c>
      <c r="L2331" s="2">
        <v>45850</v>
      </c>
      <c r="M2331" s="1" t="s">
        <v>5070</v>
      </c>
      <c r="N2331" s="1" t="s">
        <v>4343</v>
      </c>
    </row>
    <row r="2332" spans="1:14" x14ac:dyDescent="0.35">
      <c r="A2332" s="1" t="s">
        <v>4321</v>
      </c>
      <c r="B2332" s="3" t="s">
        <v>1445</v>
      </c>
      <c r="C2332" s="1" t="s">
        <v>1682</v>
      </c>
      <c r="D2332" s="1" t="s">
        <v>5069</v>
      </c>
      <c r="E2332" s="1" t="str">
        <f>"1615"</f>
        <v>1615</v>
      </c>
      <c r="F2332" s="1" t="str">
        <f>"001254086"</f>
        <v>001254086</v>
      </c>
      <c r="G2332" s="1" t="s">
        <v>5068</v>
      </c>
      <c r="H2332" s="1" t="s">
        <v>15</v>
      </c>
      <c r="I2332" s="3" t="str">
        <f>"6"</f>
        <v>6</v>
      </c>
      <c r="J2332" s="3">
        <v>1434.03</v>
      </c>
      <c r="K2332" s="2">
        <v>45848</v>
      </c>
      <c r="L2332" s="2">
        <v>45850</v>
      </c>
      <c r="M2332" s="1" t="s">
        <v>5064</v>
      </c>
      <c r="N2332" s="1" t="s">
        <v>5067</v>
      </c>
    </row>
    <row r="2333" spans="1:14" x14ac:dyDescent="0.35">
      <c r="A2333" s="1" t="s">
        <v>4321</v>
      </c>
      <c r="B2333" s="3" t="s">
        <v>1445</v>
      </c>
      <c r="C2333" s="1" t="s">
        <v>1682</v>
      </c>
      <c r="D2333" s="1" t="s">
        <v>5066</v>
      </c>
      <c r="E2333" s="1" t="str">
        <f>"1615"</f>
        <v>1615</v>
      </c>
      <c r="F2333" s="1" t="str">
        <f>"011382588"</f>
        <v>011382588</v>
      </c>
      <c r="G2333" s="1" t="s">
        <v>5065</v>
      </c>
      <c r="H2333" s="1" t="s">
        <v>15</v>
      </c>
      <c r="I2333" s="3" t="str">
        <f>"1"</f>
        <v>1</v>
      </c>
      <c r="J2333" s="3">
        <v>4096.5200000000004</v>
      </c>
      <c r="K2333" s="2">
        <v>45848</v>
      </c>
      <c r="L2333" s="2">
        <v>45850</v>
      </c>
      <c r="M2333" s="1" t="s">
        <v>5064</v>
      </c>
      <c r="N2333" s="1" t="s">
        <v>5063</v>
      </c>
    </row>
    <row r="2334" spans="1:14" x14ac:dyDescent="0.35">
      <c r="A2334" s="1" t="s">
        <v>4321</v>
      </c>
      <c r="B2334" s="3" t="s">
        <v>3105</v>
      </c>
      <c r="C2334" s="1" t="s">
        <v>3106</v>
      </c>
      <c r="D2334" s="1" t="s">
        <v>5062</v>
      </c>
      <c r="E2334" s="1" t="str">
        <f>"4910"</f>
        <v>4910</v>
      </c>
      <c r="F2334" s="1" t="str">
        <f>"013539944"</f>
        <v>013539944</v>
      </c>
      <c r="G2334" s="1" t="s">
        <v>5061</v>
      </c>
      <c r="H2334" s="1" t="s">
        <v>15</v>
      </c>
      <c r="I2334" s="3" t="str">
        <f>"1"</f>
        <v>1</v>
      </c>
      <c r="J2334" s="3">
        <v>518.38</v>
      </c>
      <c r="K2334" s="2">
        <v>45847</v>
      </c>
      <c r="L2334" s="2">
        <v>45850</v>
      </c>
      <c r="M2334" s="1" t="s">
        <v>5060</v>
      </c>
      <c r="N2334" s="1" t="s">
        <v>5059</v>
      </c>
    </row>
    <row r="2335" spans="1:14" x14ac:dyDescent="0.35">
      <c r="A2335" s="1" t="s">
        <v>4321</v>
      </c>
      <c r="B2335" s="3" t="s">
        <v>93</v>
      </c>
      <c r="C2335" s="1" t="s">
        <v>109</v>
      </c>
      <c r="D2335" s="1" t="s">
        <v>5058</v>
      </c>
      <c r="E2335" s="1" t="str">
        <f>"2340"</f>
        <v>2340</v>
      </c>
      <c r="F2335" s="1" t="s">
        <v>647</v>
      </c>
      <c r="G2335" s="1" t="s">
        <v>648</v>
      </c>
      <c r="H2335" s="1" t="s">
        <v>15</v>
      </c>
      <c r="I2335" s="3" t="str">
        <f>"1"</f>
        <v>1</v>
      </c>
      <c r="J2335" s="3" t="str">
        <f>"7499"</f>
        <v>7499</v>
      </c>
      <c r="K2335" s="2">
        <v>45846</v>
      </c>
      <c r="L2335" s="2">
        <v>45850</v>
      </c>
      <c r="M2335" s="1" t="s">
        <v>5057</v>
      </c>
      <c r="N2335" s="1" t="s">
        <v>5056</v>
      </c>
    </row>
    <row r="2336" spans="1:14" x14ac:dyDescent="0.35">
      <c r="A2336" s="1" t="s">
        <v>4321</v>
      </c>
      <c r="B2336" s="3" t="s">
        <v>2456</v>
      </c>
      <c r="C2336" s="1" t="s">
        <v>2457</v>
      </c>
      <c r="D2336" s="1" t="s">
        <v>5055</v>
      </c>
      <c r="E2336" s="1" t="str">
        <f>"5855"</f>
        <v>5855</v>
      </c>
      <c r="F2336" s="1" t="str">
        <f>"015330555"</f>
        <v>015330555</v>
      </c>
      <c r="G2336" s="1" t="s">
        <v>2656</v>
      </c>
      <c r="H2336" s="1" t="s">
        <v>15</v>
      </c>
      <c r="I2336" s="3" t="str">
        <f>"9"</f>
        <v>9</v>
      </c>
      <c r="J2336" s="3" t="str">
        <f>"1800"</f>
        <v>1800</v>
      </c>
      <c r="K2336" s="2">
        <v>45846</v>
      </c>
      <c r="L2336" s="2">
        <v>45850</v>
      </c>
      <c r="M2336" s="1" t="s">
        <v>5054</v>
      </c>
      <c r="N2336" s="1" t="s">
        <v>4343</v>
      </c>
    </row>
    <row r="2337" spans="1:14" x14ac:dyDescent="0.35">
      <c r="A2337" s="1" t="s">
        <v>4321</v>
      </c>
      <c r="B2337" s="3" t="s">
        <v>1944</v>
      </c>
      <c r="C2337" s="1" t="s">
        <v>1945</v>
      </c>
      <c r="D2337" s="1" t="s">
        <v>5053</v>
      </c>
      <c r="E2337" s="1" t="str">
        <f>"5855"</f>
        <v>5855</v>
      </c>
      <c r="F2337" s="1" t="str">
        <f>"014502333"</f>
        <v>014502333</v>
      </c>
      <c r="G2337" s="1" t="s">
        <v>1947</v>
      </c>
      <c r="H2337" s="1" t="s">
        <v>15</v>
      </c>
      <c r="I2337" s="3" t="str">
        <f>"1"</f>
        <v>1</v>
      </c>
      <c r="J2337" s="3">
        <v>10398.299999999999</v>
      </c>
      <c r="K2337" s="2">
        <v>45846</v>
      </c>
      <c r="L2337" s="2">
        <v>45850</v>
      </c>
      <c r="M2337" s="1" t="s">
        <v>1948</v>
      </c>
      <c r="N2337" s="1" t="s">
        <v>5052</v>
      </c>
    </row>
    <row r="2338" spans="1:14" x14ac:dyDescent="0.35">
      <c r="A2338" s="1" t="s">
        <v>4321</v>
      </c>
      <c r="B2338" s="3" t="s">
        <v>3513</v>
      </c>
      <c r="C2338" s="1" t="s">
        <v>5051</v>
      </c>
      <c r="D2338" s="1" t="s">
        <v>5050</v>
      </c>
      <c r="E2338" s="1" t="str">
        <f>"2340"</f>
        <v>2340</v>
      </c>
      <c r="F2338" s="1" t="s">
        <v>647</v>
      </c>
      <c r="G2338" s="1" t="s">
        <v>648</v>
      </c>
      <c r="H2338" s="1" t="s">
        <v>15</v>
      </c>
      <c r="I2338" s="3" t="str">
        <f>"1"</f>
        <v>1</v>
      </c>
      <c r="J2338" s="3" t="str">
        <f>"7499"</f>
        <v>7499</v>
      </c>
      <c r="K2338" s="2">
        <v>45845</v>
      </c>
      <c r="L2338" s="2">
        <v>45850</v>
      </c>
      <c r="M2338" s="1" t="s">
        <v>5049</v>
      </c>
      <c r="N2338" s="1" t="s">
        <v>5048</v>
      </c>
    </row>
    <row r="2339" spans="1:14" x14ac:dyDescent="0.35">
      <c r="A2339" s="1" t="s">
        <v>4321</v>
      </c>
      <c r="B2339" s="3" t="s">
        <v>93</v>
      </c>
      <c r="C2339" s="1" t="s">
        <v>109</v>
      </c>
      <c r="D2339" s="1" t="s">
        <v>5047</v>
      </c>
      <c r="E2339" s="1" t="str">
        <f>"4250"</f>
        <v>4250</v>
      </c>
      <c r="F2339" s="1" t="str">
        <f>"014117240"</f>
        <v>014117240</v>
      </c>
      <c r="G2339" s="1" t="s">
        <v>5046</v>
      </c>
      <c r="H2339" s="1" t="s">
        <v>15</v>
      </c>
      <c r="I2339" s="3" t="str">
        <f>"1"</f>
        <v>1</v>
      </c>
      <c r="J2339" s="3">
        <v>11212.47</v>
      </c>
      <c r="K2339" s="2">
        <v>45844</v>
      </c>
      <c r="L2339" s="2">
        <v>45850</v>
      </c>
      <c r="M2339" s="1" t="s">
        <v>5045</v>
      </c>
      <c r="N2339" s="1" t="s">
        <v>5044</v>
      </c>
    </row>
    <row r="2340" spans="1:14" x14ac:dyDescent="0.35">
      <c r="A2340" s="1" t="s">
        <v>4321</v>
      </c>
      <c r="B2340" s="3" t="s">
        <v>93</v>
      </c>
      <c r="C2340" s="1" t="s">
        <v>109</v>
      </c>
      <c r="D2340" s="1" t="s">
        <v>5043</v>
      </c>
      <c r="E2340" s="1" t="str">
        <f>"2340"</f>
        <v>2340</v>
      </c>
      <c r="F2340" s="1" t="s">
        <v>647</v>
      </c>
      <c r="G2340" s="1" t="s">
        <v>648</v>
      </c>
      <c r="H2340" s="1" t="s">
        <v>15</v>
      </c>
      <c r="I2340" s="3" t="str">
        <f>"1"</f>
        <v>1</v>
      </c>
      <c r="J2340" s="3" t="str">
        <f>"7499"</f>
        <v>7499</v>
      </c>
      <c r="K2340" s="2">
        <v>45844</v>
      </c>
      <c r="L2340" s="2">
        <v>45850</v>
      </c>
      <c r="M2340" s="1" t="s">
        <v>5042</v>
      </c>
      <c r="N2340" s="1" t="s">
        <v>5041</v>
      </c>
    </row>
    <row r="2341" spans="1:14" x14ac:dyDescent="0.35">
      <c r="A2341" s="1" t="s">
        <v>4321</v>
      </c>
      <c r="B2341" s="3" t="s">
        <v>3513</v>
      </c>
      <c r="C2341" s="1" t="s">
        <v>3514</v>
      </c>
      <c r="D2341" s="1" t="s">
        <v>5040</v>
      </c>
      <c r="E2341" s="1" t="str">
        <f>"2340"</f>
        <v>2340</v>
      </c>
      <c r="F2341" s="1" t="s">
        <v>647</v>
      </c>
      <c r="G2341" s="1" t="s">
        <v>648</v>
      </c>
      <c r="H2341" s="1" t="s">
        <v>15</v>
      </c>
      <c r="I2341" s="3" t="str">
        <f>"1"</f>
        <v>1</v>
      </c>
      <c r="J2341" s="3" t="str">
        <f>"7499"</f>
        <v>7499</v>
      </c>
      <c r="K2341" s="2">
        <v>45843</v>
      </c>
      <c r="L2341" s="2">
        <v>45850</v>
      </c>
      <c r="M2341" s="1" t="s">
        <v>5039</v>
      </c>
      <c r="N2341" s="1" t="s">
        <v>5038</v>
      </c>
    </row>
    <row r="2342" spans="1:14" x14ac:dyDescent="0.35">
      <c r="A2342" s="1" t="s">
        <v>4321</v>
      </c>
      <c r="B2342" s="3" t="s">
        <v>93</v>
      </c>
      <c r="C2342" s="1" t="s">
        <v>369</v>
      </c>
      <c r="D2342" s="1" t="s">
        <v>5037</v>
      </c>
      <c r="E2342" s="1" t="str">
        <f>"5110"</f>
        <v>5110</v>
      </c>
      <c r="F2342" s="1" t="str">
        <f>"015399992"</f>
        <v>015399992</v>
      </c>
      <c r="G2342" s="1" t="s">
        <v>5036</v>
      </c>
      <c r="H2342" s="1" t="s">
        <v>15</v>
      </c>
      <c r="I2342" s="3" t="str">
        <f>"6"</f>
        <v>6</v>
      </c>
      <c r="J2342" s="3">
        <v>61.94</v>
      </c>
      <c r="K2342" s="2">
        <v>45843</v>
      </c>
      <c r="L2342" s="2">
        <v>45850</v>
      </c>
      <c r="M2342" s="1" t="s">
        <v>5035</v>
      </c>
      <c r="N2342" s="1" t="s">
        <v>5034</v>
      </c>
    </row>
    <row r="2343" spans="1:14" x14ac:dyDescent="0.35">
      <c r="A2343" s="1" t="s">
        <v>4321</v>
      </c>
      <c r="B2343" s="3" t="s">
        <v>2720</v>
      </c>
      <c r="C2343" s="1" t="s">
        <v>2876</v>
      </c>
      <c r="D2343" s="1" t="s">
        <v>5033</v>
      </c>
      <c r="E2343" s="1" t="str">
        <f>"2410"</f>
        <v>2410</v>
      </c>
      <c r="F2343" s="1" t="str">
        <f>"001859792"</f>
        <v>001859792</v>
      </c>
      <c r="G2343" s="1" t="s">
        <v>2233</v>
      </c>
      <c r="H2343" s="1" t="s">
        <v>15</v>
      </c>
      <c r="I2343" s="3" t="str">
        <f>"1"</f>
        <v>1</v>
      </c>
      <c r="J2343" s="3" t="str">
        <f>"72325"</f>
        <v>72325</v>
      </c>
      <c r="K2343" s="2">
        <v>45843</v>
      </c>
      <c r="L2343" s="2">
        <v>45850</v>
      </c>
      <c r="M2343" s="1" t="s">
        <v>5032</v>
      </c>
      <c r="N2343" s="1" t="s">
        <v>5031</v>
      </c>
    </row>
    <row r="2344" spans="1:14" x14ac:dyDescent="0.35">
      <c r="A2344" s="1" t="s">
        <v>4321</v>
      </c>
      <c r="B2344" s="3" t="s">
        <v>3885</v>
      </c>
      <c r="C2344" s="1" t="s">
        <v>4019</v>
      </c>
      <c r="D2344" s="1" t="s">
        <v>5030</v>
      </c>
      <c r="E2344" s="1" t="str">
        <f>"6515"</f>
        <v>6515</v>
      </c>
      <c r="F2344" s="1" t="str">
        <f>"016187475"</f>
        <v>016187475</v>
      </c>
      <c r="G2344" s="1" t="s">
        <v>5029</v>
      </c>
      <c r="H2344" s="1" t="s">
        <v>19</v>
      </c>
      <c r="I2344" s="3" t="str">
        <f>"3"</f>
        <v>3</v>
      </c>
      <c r="J2344" s="3">
        <v>503.92</v>
      </c>
      <c r="K2344" s="2">
        <v>45843</v>
      </c>
      <c r="L2344" s="2">
        <v>45850</v>
      </c>
      <c r="M2344" s="1" t="s">
        <v>5028</v>
      </c>
      <c r="N2344" s="1" t="s">
        <v>5027</v>
      </c>
    </row>
    <row r="2345" spans="1:14" x14ac:dyDescent="0.35">
      <c r="A2345" s="1" t="s">
        <v>4321</v>
      </c>
      <c r="B2345" s="3" t="s">
        <v>1977</v>
      </c>
      <c r="C2345" s="1" t="s">
        <v>4493</v>
      </c>
      <c r="D2345" s="1" t="s">
        <v>5026</v>
      </c>
      <c r="E2345" s="1" t="str">
        <f>"5825"</f>
        <v>5825</v>
      </c>
      <c r="F2345" s="1" t="s">
        <v>5025</v>
      </c>
      <c r="G2345" s="1" t="s">
        <v>5024</v>
      </c>
      <c r="H2345" s="1" t="s">
        <v>15</v>
      </c>
      <c r="I2345" s="3" t="str">
        <f>"1"</f>
        <v>1</v>
      </c>
      <c r="J2345" s="3">
        <v>245.88</v>
      </c>
      <c r="K2345" s="2">
        <v>45842</v>
      </c>
      <c r="L2345" s="2">
        <v>45850</v>
      </c>
      <c r="M2345" s="1" t="s">
        <v>5023</v>
      </c>
      <c r="N2345" s="1" t="s">
        <v>5022</v>
      </c>
    </row>
    <row r="2346" spans="1:14" x14ac:dyDescent="0.35">
      <c r="A2346" s="1" t="s">
        <v>4321</v>
      </c>
      <c r="B2346" s="3" t="s">
        <v>4253</v>
      </c>
      <c r="C2346" s="1" t="s">
        <v>4271</v>
      </c>
      <c r="D2346" s="1" t="s">
        <v>5021</v>
      </c>
      <c r="E2346" s="1" t="str">
        <f>"5855"</f>
        <v>5855</v>
      </c>
      <c r="F2346" s="1" t="str">
        <f>"014502333"</f>
        <v>014502333</v>
      </c>
      <c r="G2346" s="1" t="s">
        <v>1947</v>
      </c>
      <c r="H2346" s="1" t="s">
        <v>15</v>
      </c>
      <c r="I2346" s="3" t="str">
        <f>"1"</f>
        <v>1</v>
      </c>
      <c r="J2346" s="3">
        <v>10398.299999999999</v>
      </c>
      <c r="K2346" s="2">
        <v>45841</v>
      </c>
      <c r="L2346" s="2">
        <v>45850</v>
      </c>
      <c r="M2346" s="1" t="s">
        <v>4998</v>
      </c>
      <c r="N2346" s="1" t="s">
        <v>4343</v>
      </c>
    </row>
    <row r="2347" spans="1:14" x14ac:dyDescent="0.35">
      <c r="A2347" s="1" t="s">
        <v>4321</v>
      </c>
      <c r="B2347" s="3" t="s">
        <v>4253</v>
      </c>
      <c r="C2347" s="1" t="s">
        <v>4271</v>
      </c>
      <c r="D2347" s="1" t="s">
        <v>5020</v>
      </c>
      <c r="E2347" s="1" t="str">
        <f>"5855"</f>
        <v>5855</v>
      </c>
      <c r="F2347" s="1" t="str">
        <f>"014502333"</f>
        <v>014502333</v>
      </c>
      <c r="G2347" s="1" t="s">
        <v>1947</v>
      </c>
      <c r="H2347" s="1" t="s">
        <v>15</v>
      </c>
      <c r="I2347" s="3" t="str">
        <f>"1"</f>
        <v>1</v>
      </c>
      <c r="J2347" s="3">
        <v>10398.299999999999</v>
      </c>
      <c r="K2347" s="2">
        <v>45841</v>
      </c>
      <c r="L2347" s="2">
        <v>45850</v>
      </c>
      <c r="M2347" s="1" t="s">
        <v>4998</v>
      </c>
      <c r="N2347" s="1" t="s">
        <v>4343</v>
      </c>
    </row>
    <row r="2348" spans="1:14" x14ac:dyDescent="0.35">
      <c r="A2348" s="1" t="s">
        <v>4321</v>
      </c>
      <c r="B2348" s="3" t="s">
        <v>4253</v>
      </c>
      <c r="C2348" s="1" t="s">
        <v>4271</v>
      </c>
      <c r="D2348" s="1" t="s">
        <v>5019</v>
      </c>
      <c r="E2348" s="1" t="str">
        <f>"5855"</f>
        <v>5855</v>
      </c>
      <c r="F2348" s="1" t="str">
        <f>"014502333"</f>
        <v>014502333</v>
      </c>
      <c r="G2348" s="1" t="s">
        <v>1947</v>
      </c>
      <c r="H2348" s="1" t="s">
        <v>15</v>
      </c>
      <c r="I2348" s="3" t="str">
        <f>"1"</f>
        <v>1</v>
      </c>
      <c r="J2348" s="3">
        <v>10398.299999999999</v>
      </c>
      <c r="K2348" s="2">
        <v>45841</v>
      </c>
      <c r="L2348" s="2">
        <v>45850</v>
      </c>
      <c r="M2348" s="1" t="s">
        <v>4998</v>
      </c>
      <c r="N2348" s="1" t="s">
        <v>4343</v>
      </c>
    </row>
    <row r="2349" spans="1:14" x14ac:dyDescent="0.35">
      <c r="A2349" s="1" t="s">
        <v>4321</v>
      </c>
      <c r="B2349" s="3" t="s">
        <v>4253</v>
      </c>
      <c r="C2349" s="1" t="s">
        <v>4271</v>
      </c>
      <c r="D2349" s="1" t="s">
        <v>5018</v>
      </c>
      <c r="E2349" s="1" t="str">
        <f>"5855"</f>
        <v>5855</v>
      </c>
      <c r="F2349" s="1" t="str">
        <f>"014502333"</f>
        <v>014502333</v>
      </c>
      <c r="G2349" s="1" t="s">
        <v>1947</v>
      </c>
      <c r="H2349" s="1" t="s">
        <v>15</v>
      </c>
      <c r="I2349" s="3" t="str">
        <f>"1"</f>
        <v>1</v>
      </c>
      <c r="J2349" s="3">
        <v>10398.299999999999</v>
      </c>
      <c r="K2349" s="2">
        <v>45841</v>
      </c>
      <c r="L2349" s="2">
        <v>45850</v>
      </c>
      <c r="M2349" s="1" t="s">
        <v>4998</v>
      </c>
      <c r="N2349" s="1" t="s">
        <v>4343</v>
      </c>
    </row>
    <row r="2350" spans="1:14" x14ac:dyDescent="0.35">
      <c r="A2350" s="1" t="s">
        <v>4321</v>
      </c>
      <c r="B2350" s="3" t="s">
        <v>4253</v>
      </c>
      <c r="C2350" s="1" t="s">
        <v>4271</v>
      </c>
      <c r="D2350" s="1" t="s">
        <v>5017</v>
      </c>
      <c r="E2350" s="1" t="str">
        <f>"5855"</f>
        <v>5855</v>
      </c>
      <c r="F2350" s="1" t="str">
        <f>"014502333"</f>
        <v>014502333</v>
      </c>
      <c r="G2350" s="1" t="s">
        <v>1947</v>
      </c>
      <c r="H2350" s="1" t="s">
        <v>15</v>
      </c>
      <c r="I2350" s="3" t="str">
        <f>"1"</f>
        <v>1</v>
      </c>
      <c r="J2350" s="3">
        <v>10398.299999999999</v>
      </c>
      <c r="K2350" s="2">
        <v>45841</v>
      </c>
      <c r="L2350" s="2">
        <v>45850</v>
      </c>
      <c r="M2350" s="1" t="s">
        <v>4998</v>
      </c>
      <c r="N2350" s="1" t="s">
        <v>4343</v>
      </c>
    </row>
    <row r="2351" spans="1:14" x14ac:dyDescent="0.35">
      <c r="A2351" s="1" t="s">
        <v>4321</v>
      </c>
      <c r="B2351" s="3" t="s">
        <v>4253</v>
      </c>
      <c r="C2351" s="1" t="s">
        <v>4271</v>
      </c>
      <c r="D2351" s="1" t="s">
        <v>5016</v>
      </c>
      <c r="E2351" s="1" t="str">
        <f>"5855"</f>
        <v>5855</v>
      </c>
      <c r="F2351" s="1" t="str">
        <f>"014502333"</f>
        <v>014502333</v>
      </c>
      <c r="G2351" s="1" t="s">
        <v>1947</v>
      </c>
      <c r="H2351" s="1" t="s">
        <v>15</v>
      </c>
      <c r="I2351" s="3" t="str">
        <f>"1"</f>
        <v>1</v>
      </c>
      <c r="J2351" s="3">
        <v>10398.299999999999</v>
      </c>
      <c r="K2351" s="2">
        <v>45841</v>
      </c>
      <c r="L2351" s="2">
        <v>45850</v>
      </c>
      <c r="M2351" s="1" t="s">
        <v>4998</v>
      </c>
      <c r="N2351" s="1" t="s">
        <v>4343</v>
      </c>
    </row>
    <row r="2352" spans="1:14" x14ac:dyDescent="0.35">
      <c r="A2352" s="1" t="s">
        <v>4321</v>
      </c>
      <c r="B2352" s="3" t="s">
        <v>4253</v>
      </c>
      <c r="C2352" s="1" t="s">
        <v>4271</v>
      </c>
      <c r="D2352" s="1" t="s">
        <v>5015</v>
      </c>
      <c r="E2352" s="1" t="str">
        <f>"5855"</f>
        <v>5855</v>
      </c>
      <c r="F2352" s="1" t="str">
        <f>"014502333"</f>
        <v>014502333</v>
      </c>
      <c r="G2352" s="1" t="s">
        <v>1947</v>
      </c>
      <c r="H2352" s="1" t="s">
        <v>15</v>
      </c>
      <c r="I2352" s="3" t="str">
        <f>"1"</f>
        <v>1</v>
      </c>
      <c r="J2352" s="3">
        <v>10398.299999999999</v>
      </c>
      <c r="K2352" s="2">
        <v>45841</v>
      </c>
      <c r="L2352" s="2">
        <v>45850</v>
      </c>
      <c r="M2352" s="1" t="s">
        <v>4998</v>
      </c>
      <c r="N2352" s="1" t="s">
        <v>4343</v>
      </c>
    </row>
    <row r="2353" spans="1:14" x14ac:dyDescent="0.35">
      <c r="A2353" s="1" t="s">
        <v>4321</v>
      </c>
      <c r="B2353" s="3" t="s">
        <v>4253</v>
      </c>
      <c r="C2353" s="1" t="s">
        <v>4271</v>
      </c>
      <c r="D2353" s="1" t="s">
        <v>5014</v>
      </c>
      <c r="E2353" s="1" t="str">
        <f>"5855"</f>
        <v>5855</v>
      </c>
      <c r="F2353" s="1" t="str">
        <f>"014502333"</f>
        <v>014502333</v>
      </c>
      <c r="G2353" s="1" t="s">
        <v>1947</v>
      </c>
      <c r="H2353" s="1" t="s">
        <v>15</v>
      </c>
      <c r="I2353" s="3" t="str">
        <f>"1"</f>
        <v>1</v>
      </c>
      <c r="J2353" s="3">
        <v>10398.299999999999</v>
      </c>
      <c r="K2353" s="2">
        <v>45841</v>
      </c>
      <c r="L2353" s="2">
        <v>45850</v>
      </c>
      <c r="M2353" s="1" t="s">
        <v>4998</v>
      </c>
      <c r="N2353" s="1" t="s">
        <v>4343</v>
      </c>
    </row>
    <row r="2354" spans="1:14" x14ac:dyDescent="0.35">
      <c r="A2354" s="1" t="s">
        <v>4321</v>
      </c>
      <c r="B2354" s="3" t="s">
        <v>4253</v>
      </c>
      <c r="C2354" s="1" t="s">
        <v>4271</v>
      </c>
      <c r="D2354" s="1" t="s">
        <v>5013</v>
      </c>
      <c r="E2354" s="1" t="str">
        <f>"5855"</f>
        <v>5855</v>
      </c>
      <c r="F2354" s="1" t="str">
        <f>"014502333"</f>
        <v>014502333</v>
      </c>
      <c r="G2354" s="1" t="s">
        <v>1947</v>
      </c>
      <c r="H2354" s="1" t="s">
        <v>15</v>
      </c>
      <c r="I2354" s="3" t="str">
        <f>"1"</f>
        <v>1</v>
      </c>
      <c r="J2354" s="3">
        <v>10398.299999999999</v>
      </c>
      <c r="K2354" s="2">
        <v>45841</v>
      </c>
      <c r="L2354" s="2">
        <v>45850</v>
      </c>
      <c r="M2354" s="1" t="s">
        <v>4998</v>
      </c>
      <c r="N2354" s="1" t="s">
        <v>4343</v>
      </c>
    </row>
    <row r="2355" spans="1:14" x14ac:dyDescent="0.35">
      <c r="A2355" s="1" t="s">
        <v>4321</v>
      </c>
      <c r="B2355" s="3" t="s">
        <v>4253</v>
      </c>
      <c r="C2355" s="1" t="s">
        <v>4271</v>
      </c>
      <c r="D2355" s="1" t="s">
        <v>5012</v>
      </c>
      <c r="E2355" s="1" t="str">
        <f>"5855"</f>
        <v>5855</v>
      </c>
      <c r="F2355" s="1" t="str">
        <f>"014502333"</f>
        <v>014502333</v>
      </c>
      <c r="G2355" s="1" t="s">
        <v>1947</v>
      </c>
      <c r="H2355" s="1" t="s">
        <v>15</v>
      </c>
      <c r="I2355" s="3" t="str">
        <f>"1"</f>
        <v>1</v>
      </c>
      <c r="J2355" s="3">
        <v>10398.299999999999</v>
      </c>
      <c r="K2355" s="2">
        <v>45841</v>
      </c>
      <c r="L2355" s="2">
        <v>45850</v>
      </c>
      <c r="M2355" s="1" t="s">
        <v>4998</v>
      </c>
      <c r="N2355" s="1" t="s">
        <v>4343</v>
      </c>
    </row>
    <row r="2356" spans="1:14" x14ac:dyDescent="0.35">
      <c r="A2356" s="1" t="s">
        <v>4321</v>
      </c>
      <c r="B2356" s="3" t="s">
        <v>4253</v>
      </c>
      <c r="C2356" s="1" t="s">
        <v>4271</v>
      </c>
      <c r="D2356" s="1" t="s">
        <v>5011</v>
      </c>
      <c r="E2356" s="1" t="str">
        <f>"5855"</f>
        <v>5855</v>
      </c>
      <c r="F2356" s="1" t="str">
        <f>"014502333"</f>
        <v>014502333</v>
      </c>
      <c r="G2356" s="1" t="s">
        <v>1947</v>
      </c>
      <c r="H2356" s="1" t="s">
        <v>15</v>
      </c>
      <c r="I2356" s="3" t="str">
        <f>"1"</f>
        <v>1</v>
      </c>
      <c r="J2356" s="3">
        <v>10398.299999999999</v>
      </c>
      <c r="K2356" s="2">
        <v>45841</v>
      </c>
      <c r="L2356" s="2">
        <v>45850</v>
      </c>
      <c r="M2356" s="1" t="s">
        <v>4998</v>
      </c>
      <c r="N2356" s="1" t="s">
        <v>4343</v>
      </c>
    </row>
    <row r="2357" spans="1:14" x14ac:dyDescent="0.35">
      <c r="A2357" s="1" t="s">
        <v>4321</v>
      </c>
      <c r="B2357" s="3" t="s">
        <v>4253</v>
      </c>
      <c r="C2357" s="1" t="s">
        <v>4271</v>
      </c>
      <c r="D2357" s="1" t="s">
        <v>5010</v>
      </c>
      <c r="E2357" s="1" t="str">
        <f>"5855"</f>
        <v>5855</v>
      </c>
      <c r="F2357" s="1" t="str">
        <f>"014502333"</f>
        <v>014502333</v>
      </c>
      <c r="G2357" s="1" t="s">
        <v>1947</v>
      </c>
      <c r="H2357" s="1" t="s">
        <v>15</v>
      </c>
      <c r="I2357" s="3" t="str">
        <f>"1"</f>
        <v>1</v>
      </c>
      <c r="J2357" s="3">
        <v>10398.299999999999</v>
      </c>
      <c r="K2357" s="2">
        <v>45841</v>
      </c>
      <c r="L2357" s="2">
        <v>45850</v>
      </c>
      <c r="M2357" s="1" t="s">
        <v>4998</v>
      </c>
      <c r="N2357" s="1" t="s">
        <v>4343</v>
      </c>
    </row>
    <row r="2358" spans="1:14" x14ac:dyDescent="0.35">
      <c r="A2358" s="1" t="s">
        <v>4321</v>
      </c>
      <c r="B2358" s="3" t="s">
        <v>4253</v>
      </c>
      <c r="C2358" s="1" t="s">
        <v>4271</v>
      </c>
      <c r="D2358" s="1" t="s">
        <v>5009</v>
      </c>
      <c r="E2358" s="1" t="str">
        <f>"5855"</f>
        <v>5855</v>
      </c>
      <c r="F2358" s="1" t="str">
        <f>"014502333"</f>
        <v>014502333</v>
      </c>
      <c r="G2358" s="1" t="s">
        <v>1947</v>
      </c>
      <c r="H2358" s="1" t="s">
        <v>15</v>
      </c>
      <c r="I2358" s="3" t="str">
        <f>"1"</f>
        <v>1</v>
      </c>
      <c r="J2358" s="3">
        <v>10398.299999999999</v>
      </c>
      <c r="K2358" s="2">
        <v>45841</v>
      </c>
      <c r="L2358" s="2">
        <v>45850</v>
      </c>
      <c r="M2358" s="1" t="s">
        <v>4998</v>
      </c>
      <c r="N2358" s="1" t="s">
        <v>4343</v>
      </c>
    </row>
    <row r="2359" spans="1:14" x14ac:dyDescent="0.35">
      <c r="A2359" s="1" t="s">
        <v>4321</v>
      </c>
      <c r="B2359" s="3" t="s">
        <v>4253</v>
      </c>
      <c r="C2359" s="1" t="s">
        <v>4271</v>
      </c>
      <c r="D2359" s="1" t="s">
        <v>5008</v>
      </c>
      <c r="E2359" s="1" t="str">
        <f>"5855"</f>
        <v>5855</v>
      </c>
      <c r="F2359" s="1" t="str">
        <f>"014502333"</f>
        <v>014502333</v>
      </c>
      <c r="G2359" s="1" t="s">
        <v>1947</v>
      </c>
      <c r="H2359" s="1" t="s">
        <v>15</v>
      </c>
      <c r="I2359" s="3" t="str">
        <f>"1"</f>
        <v>1</v>
      </c>
      <c r="J2359" s="3">
        <v>10398.299999999999</v>
      </c>
      <c r="K2359" s="2">
        <v>45841</v>
      </c>
      <c r="L2359" s="2">
        <v>45850</v>
      </c>
      <c r="M2359" s="1" t="s">
        <v>4998</v>
      </c>
      <c r="N2359" s="1" t="s">
        <v>4343</v>
      </c>
    </row>
    <row r="2360" spans="1:14" x14ac:dyDescent="0.35">
      <c r="A2360" s="1" t="s">
        <v>4321</v>
      </c>
      <c r="B2360" s="3" t="s">
        <v>93</v>
      </c>
      <c r="C2360" s="1" t="s">
        <v>312</v>
      </c>
      <c r="D2360" s="1" t="s">
        <v>5007</v>
      </c>
      <c r="E2360" s="1" t="str">
        <f>"3830"</f>
        <v>3830</v>
      </c>
      <c r="F2360" s="1" t="s">
        <v>2288</v>
      </c>
      <c r="G2360" s="1" t="s">
        <v>2289</v>
      </c>
      <c r="H2360" s="1" t="s">
        <v>15</v>
      </c>
      <c r="I2360" s="3" t="str">
        <f>"1"</f>
        <v>1</v>
      </c>
      <c r="J2360" s="3" t="str">
        <f>"300"</f>
        <v>300</v>
      </c>
      <c r="K2360" s="2">
        <v>45841</v>
      </c>
      <c r="L2360" s="2">
        <v>45850</v>
      </c>
      <c r="M2360" s="1" t="s">
        <v>5004</v>
      </c>
      <c r="N2360" s="1" t="s">
        <v>5006</v>
      </c>
    </row>
    <row r="2361" spans="1:14" x14ac:dyDescent="0.35">
      <c r="A2361" s="1" t="s">
        <v>4321</v>
      </c>
      <c r="B2361" s="3" t="s">
        <v>93</v>
      </c>
      <c r="C2361" s="1" t="s">
        <v>312</v>
      </c>
      <c r="D2361" s="1" t="s">
        <v>5005</v>
      </c>
      <c r="E2361" s="1" t="str">
        <f>"3750"</f>
        <v>3750</v>
      </c>
      <c r="F2361" s="1" t="s">
        <v>583</v>
      </c>
      <c r="G2361" s="1" t="s">
        <v>584</v>
      </c>
      <c r="H2361" s="1" t="s">
        <v>15</v>
      </c>
      <c r="I2361" s="3" t="str">
        <f>"1"</f>
        <v>1</v>
      </c>
      <c r="J2361" s="3" t="str">
        <f>"20588"</f>
        <v>20588</v>
      </c>
      <c r="K2361" s="2">
        <v>45841</v>
      </c>
      <c r="L2361" s="2">
        <v>45850</v>
      </c>
      <c r="M2361" s="1" t="s">
        <v>5004</v>
      </c>
      <c r="N2361" s="1" t="s">
        <v>5003</v>
      </c>
    </row>
    <row r="2362" spans="1:14" x14ac:dyDescent="0.35">
      <c r="A2362" s="1" t="s">
        <v>4321</v>
      </c>
      <c r="B2362" s="3" t="s">
        <v>4253</v>
      </c>
      <c r="C2362" s="1" t="s">
        <v>4271</v>
      </c>
      <c r="D2362" s="1" t="s">
        <v>5002</v>
      </c>
      <c r="E2362" s="1" t="str">
        <f>"6260"</f>
        <v>6260</v>
      </c>
      <c r="F2362" s="1" t="str">
        <f>"011785560"</f>
        <v>011785560</v>
      </c>
      <c r="G2362" s="1" t="s">
        <v>657</v>
      </c>
      <c r="H2362" s="1" t="s">
        <v>290</v>
      </c>
      <c r="I2362" s="3" t="str">
        <f>"199"</f>
        <v>199</v>
      </c>
      <c r="J2362" s="3" t="str">
        <f>"25"</f>
        <v>25</v>
      </c>
      <c r="K2362" s="2">
        <v>45839</v>
      </c>
      <c r="L2362" s="2">
        <v>45850</v>
      </c>
      <c r="M2362" s="1" t="s">
        <v>5001</v>
      </c>
      <c r="N2362" s="1" t="s">
        <v>5000</v>
      </c>
    </row>
    <row r="2363" spans="1:14" x14ac:dyDescent="0.35">
      <c r="A2363" s="1" t="s">
        <v>4321</v>
      </c>
      <c r="B2363" s="3" t="s">
        <v>4253</v>
      </c>
      <c r="C2363" s="1" t="s">
        <v>4271</v>
      </c>
      <c r="D2363" s="1" t="s">
        <v>4999</v>
      </c>
      <c r="E2363" s="1" t="str">
        <f>"5855"</f>
        <v>5855</v>
      </c>
      <c r="F2363" s="1" t="str">
        <f>"015330555"</f>
        <v>015330555</v>
      </c>
      <c r="G2363" s="1" t="s">
        <v>2656</v>
      </c>
      <c r="H2363" s="1" t="s">
        <v>15</v>
      </c>
      <c r="I2363" s="3" t="str">
        <f>"10"</f>
        <v>10</v>
      </c>
      <c r="J2363" s="3" t="str">
        <f>"1800"</f>
        <v>1800</v>
      </c>
      <c r="K2363" s="2">
        <v>45839</v>
      </c>
      <c r="L2363" s="2">
        <v>45850</v>
      </c>
      <c r="M2363" s="1" t="s">
        <v>4998</v>
      </c>
      <c r="N2363" s="1" t="s">
        <v>4343</v>
      </c>
    </row>
    <row r="2364" spans="1:14" x14ac:dyDescent="0.35">
      <c r="A2364" s="1" t="s">
        <v>4321</v>
      </c>
      <c r="B2364" s="3" t="s">
        <v>601</v>
      </c>
      <c r="C2364" s="1" t="s">
        <v>641</v>
      </c>
      <c r="D2364" s="1" t="s">
        <v>4997</v>
      </c>
      <c r="E2364" s="1" t="str">
        <f>"4240"</f>
        <v>4240</v>
      </c>
      <c r="F2364" s="1" t="str">
        <f>"015545699"</f>
        <v>015545699</v>
      </c>
      <c r="G2364" s="1" t="s">
        <v>1990</v>
      </c>
      <c r="H2364" s="1" t="s">
        <v>19</v>
      </c>
      <c r="I2364" s="3" t="str">
        <f>"58"</f>
        <v>58</v>
      </c>
      <c r="J2364" s="3">
        <v>52.81</v>
      </c>
      <c r="K2364" s="2">
        <v>45839</v>
      </c>
      <c r="L2364" s="2">
        <v>45850</v>
      </c>
      <c r="M2364" s="1" t="s">
        <v>4996</v>
      </c>
      <c r="N2364" s="1" t="s">
        <v>4343</v>
      </c>
    </row>
    <row r="2365" spans="1:14" x14ac:dyDescent="0.35">
      <c r="A2365" s="1" t="s">
        <v>4321</v>
      </c>
      <c r="B2365" s="3" t="s">
        <v>2000</v>
      </c>
      <c r="C2365" s="1" t="s">
        <v>2022</v>
      </c>
      <c r="D2365" s="1" t="s">
        <v>4995</v>
      </c>
      <c r="E2365" s="1" t="str">
        <f>"1940"</f>
        <v>1940</v>
      </c>
      <c r="F2365" s="1" t="str">
        <f>"010366831"</f>
        <v>010366831</v>
      </c>
      <c r="G2365" s="1" t="s">
        <v>4994</v>
      </c>
      <c r="H2365" s="1" t="s">
        <v>15</v>
      </c>
      <c r="I2365" s="3" t="str">
        <f>"1"</f>
        <v>1</v>
      </c>
      <c r="J2365" s="3" t="str">
        <f>"1104"</f>
        <v>1104</v>
      </c>
      <c r="K2365" s="2">
        <v>45838</v>
      </c>
      <c r="L2365" s="2">
        <v>45850</v>
      </c>
      <c r="M2365" s="1" t="s">
        <v>4993</v>
      </c>
      <c r="N2365" s="1" t="s">
        <v>4992</v>
      </c>
    </row>
    <row r="2366" spans="1:14" x14ac:dyDescent="0.35">
      <c r="A2366" s="1" t="s">
        <v>4321</v>
      </c>
      <c r="B2366" s="3" t="s">
        <v>2638</v>
      </c>
      <c r="C2366" s="1" t="s">
        <v>2645</v>
      </c>
      <c r="D2366" s="1" t="s">
        <v>4991</v>
      </c>
      <c r="E2366" s="1" t="str">
        <f>"6545"</f>
        <v>6545</v>
      </c>
      <c r="F2366" s="1" t="str">
        <f>"016320167"</f>
        <v>016320167</v>
      </c>
      <c r="G2366" s="1" t="s">
        <v>1046</v>
      </c>
      <c r="H2366" s="1" t="s">
        <v>19</v>
      </c>
      <c r="I2366" s="3" t="str">
        <f>"10"</f>
        <v>10</v>
      </c>
      <c r="J2366" s="3">
        <v>422.49</v>
      </c>
      <c r="K2366" s="2">
        <v>45838</v>
      </c>
      <c r="L2366" s="2">
        <v>45850</v>
      </c>
      <c r="M2366" s="1" t="s">
        <v>4990</v>
      </c>
      <c r="N2366" s="1" t="s">
        <v>4989</v>
      </c>
    </row>
    <row r="2367" spans="1:14" x14ac:dyDescent="0.35">
      <c r="A2367" s="1" t="s">
        <v>4321</v>
      </c>
      <c r="B2367" s="3" t="s">
        <v>4253</v>
      </c>
      <c r="C2367" s="1" t="s">
        <v>4271</v>
      </c>
      <c r="D2367" s="1" t="s">
        <v>4988</v>
      </c>
      <c r="E2367" s="1" t="str">
        <f>"6260"</f>
        <v>6260</v>
      </c>
      <c r="F2367" s="1" t="str">
        <f>"011785560"</f>
        <v>011785560</v>
      </c>
      <c r="G2367" s="1" t="s">
        <v>657</v>
      </c>
      <c r="H2367" s="1" t="s">
        <v>290</v>
      </c>
      <c r="I2367" s="3" t="str">
        <f>"1"</f>
        <v>1</v>
      </c>
      <c r="J2367" s="3" t="str">
        <f>"25"</f>
        <v>25</v>
      </c>
      <c r="K2367" s="2">
        <v>45838</v>
      </c>
      <c r="L2367" s="2">
        <v>45850</v>
      </c>
      <c r="M2367" s="1" t="s">
        <v>4987</v>
      </c>
      <c r="N2367" s="1" t="s">
        <v>4343</v>
      </c>
    </row>
    <row r="2368" spans="1:14" x14ac:dyDescent="0.35">
      <c r="A2368" s="1" t="s">
        <v>4321</v>
      </c>
      <c r="B2368" s="3" t="s">
        <v>1992</v>
      </c>
      <c r="C2368" s="1" t="s">
        <v>1993</v>
      </c>
      <c r="D2368" s="1" t="s">
        <v>4986</v>
      </c>
      <c r="E2368" s="1" t="str">
        <f>"2330"</f>
        <v>2330</v>
      </c>
      <c r="F2368" s="1" t="s">
        <v>70</v>
      </c>
      <c r="G2368" s="1" t="s">
        <v>71</v>
      </c>
      <c r="H2368" s="1" t="s">
        <v>15</v>
      </c>
      <c r="I2368" s="3" t="str">
        <f>"1"</f>
        <v>1</v>
      </c>
      <c r="J2368" s="3" t="str">
        <f>"16229"</f>
        <v>16229</v>
      </c>
      <c r="K2368" s="2">
        <v>45838</v>
      </c>
      <c r="L2368" s="2">
        <v>45850</v>
      </c>
      <c r="M2368" s="1" t="s">
        <v>4985</v>
      </c>
      <c r="N2368" s="1" t="s">
        <v>4343</v>
      </c>
    </row>
    <row r="2369" spans="1:14" x14ac:dyDescent="0.35">
      <c r="A2369" s="1" t="s">
        <v>4321</v>
      </c>
      <c r="B2369" s="3" t="s">
        <v>2494</v>
      </c>
      <c r="C2369" s="1" t="s">
        <v>4984</v>
      </c>
      <c r="D2369" s="1" t="s">
        <v>4983</v>
      </c>
      <c r="E2369" s="1" t="str">
        <f>"2330"</f>
        <v>2330</v>
      </c>
      <c r="F2369" s="1" t="s">
        <v>70</v>
      </c>
      <c r="G2369" s="1" t="s">
        <v>71</v>
      </c>
      <c r="H2369" s="1" t="s">
        <v>15</v>
      </c>
      <c r="I2369" s="3" t="str">
        <f>"1"</f>
        <v>1</v>
      </c>
      <c r="J2369" s="3" t="str">
        <f>"16229"</f>
        <v>16229</v>
      </c>
      <c r="K2369" s="2">
        <v>45838</v>
      </c>
      <c r="L2369" s="2">
        <v>45850</v>
      </c>
      <c r="M2369" s="1" t="s">
        <v>4982</v>
      </c>
      <c r="N2369" s="1" t="s">
        <v>4981</v>
      </c>
    </row>
    <row r="2370" spans="1:14" x14ac:dyDescent="0.35">
      <c r="A2370" s="1" t="s">
        <v>4321</v>
      </c>
      <c r="B2370" s="3" t="s">
        <v>1944</v>
      </c>
      <c r="C2370" s="1" t="s">
        <v>4980</v>
      </c>
      <c r="D2370" s="1" t="s">
        <v>4979</v>
      </c>
      <c r="E2370" s="1" t="str">
        <f>"2340"</f>
        <v>2340</v>
      </c>
      <c r="F2370" s="1" t="s">
        <v>694</v>
      </c>
      <c r="G2370" s="1" t="s">
        <v>695</v>
      </c>
      <c r="H2370" s="1" t="s">
        <v>15</v>
      </c>
      <c r="I2370" s="3" t="str">
        <f>"1"</f>
        <v>1</v>
      </c>
      <c r="J2370" s="3" t="str">
        <f>"5099"</f>
        <v>5099</v>
      </c>
      <c r="K2370" s="2">
        <v>45838</v>
      </c>
      <c r="L2370" s="2">
        <v>45850</v>
      </c>
      <c r="M2370" s="1" t="s">
        <v>4978</v>
      </c>
      <c r="N2370" s="1" t="s">
        <v>4977</v>
      </c>
    </row>
    <row r="2371" spans="1:14" x14ac:dyDescent="0.35">
      <c r="A2371" s="1" t="s">
        <v>4321</v>
      </c>
      <c r="B2371" s="3" t="s">
        <v>2145</v>
      </c>
      <c r="C2371" s="1" t="s">
        <v>2213</v>
      </c>
      <c r="D2371" s="1" t="s">
        <v>4976</v>
      </c>
      <c r="E2371" s="1" t="str">
        <f>"6545"</f>
        <v>6545</v>
      </c>
      <c r="F2371" s="1" t="str">
        <f>"016320167"</f>
        <v>016320167</v>
      </c>
      <c r="G2371" s="1" t="s">
        <v>1046</v>
      </c>
      <c r="H2371" s="1" t="s">
        <v>19</v>
      </c>
      <c r="I2371" s="3" t="str">
        <f>"18"</f>
        <v>18</v>
      </c>
      <c r="J2371" s="3">
        <v>422.49</v>
      </c>
      <c r="K2371" s="2">
        <v>45838</v>
      </c>
      <c r="L2371" s="2">
        <v>45850</v>
      </c>
      <c r="M2371" s="1" t="s">
        <v>4975</v>
      </c>
      <c r="N2371" s="1" t="s">
        <v>4974</v>
      </c>
    </row>
    <row r="2372" spans="1:14" x14ac:dyDescent="0.35">
      <c r="A2372" s="1" t="s">
        <v>4321</v>
      </c>
      <c r="B2372" s="3" t="s">
        <v>3183</v>
      </c>
      <c r="C2372" s="1" t="s">
        <v>3339</v>
      </c>
      <c r="D2372" s="1" t="s">
        <v>4973</v>
      </c>
      <c r="E2372" s="1" t="str">
        <f>"2340"</f>
        <v>2340</v>
      </c>
      <c r="F2372" s="1" t="s">
        <v>694</v>
      </c>
      <c r="G2372" s="1" t="s">
        <v>695</v>
      </c>
      <c r="H2372" s="1" t="s">
        <v>15</v>
      </c>
      <c r="I2372" s="3" t="str">
        <f>"1"</f>
        <v>1</v>
      </c>
      <c r="J2372" s="3" t="str">
        <f>"5099"</f>
        <v>5099</v>
      </c>
      <c r="K2372" s="2">
        <v>45838</v>
      </c>
      <c r="L2372" s="2">
        <v>45850</v>
      </c>
      <c r="M2372" s="1" t="s">
        <v>4972</v>
      </c>
      <c r="N2372" s="1" t="s">
        <v>4971</v>
      </c>
    </row>
    <row r="2373" spans="1:14" x14ac:dyDescent="0.35">
      <c r="A2373" s="1" t="s">
        <v>4321</v>
      </c>
      <c r="B2373" s="3" t="s">
        <v>4253</v>
      </c>
      <c r="C2373" s="1" t="s">
        <v>4970</v>
      </c>
      <c r="D2373" s="1" t="s">
        <v>4969</v>
      </c>
      <c r="E2373" s="1" t="str">
        <f>"2330"</f>
        <v>2330</v>
      </c>
      <c r="F2373" s="1" t="s">
        <v>70</v>
      </c>
      <c r="G2373" s="1" t="s">
        <v>71</v>
      </c>
      <c r="H2373" s="1" t="s">
        <v>15</v>
      </c>
      <c r="I2373" s="3" t="str">
        <f>"1"</f>
        <v>1</v>
      </c>
      <c r="J2373" s="3" t="str">
        <f>"16229"</f>
        <v>16229</v>
      </c>
      <c r="K2373" s="2">
        <v>45838</v>
      </c>
      <c r="L2373" s="2">
        <v>45850</v>
      </c>
      <c r="M2373" s="1" t="s">
        <v>4968</v>
      </c>
      <c r="N2373" s="1" t="s">
        <v>4967</v>
      </c>
    </row>
    <row r="2374" spans="1:14" x14ac:dyDescent="0.35">
      <c r="A2374" s="1" t="s">
        <v>4321</v>
      </c>
      <c r="B2374" s="3" t="s">
        <v>2987</v>
      </c>
      <c r="C2374" s="1" t="s">
        <v>3055</v>
      </c>
      <c r="D2374" s="1" t="s">
        <v>4966</v>
      </c>
      <c r="E2374" s="1" t="str">
        <f>"2340"</f>
        <v>2340</v>
      </c>
      <c r="F2374" s="1" t="s">
        <v>694</v>
      </c>
      <c r="G2374" s="1" t="s">
        <v>695</v>
      </c>
      <c r="H2374" s="1" t="s">
        <v>15</v>
      </c>
      <c r="I2374" s="3" t="str">
        <f>"1"</f>
        <v>1</v>
      </c>
      <c r="J2374" s="3" t="str">
        <f>"2495"</f>
        <v>2495</v>
      </c>
      <c r="K2374" s="2">
        <v>45838</v>
      </c>
      <c r="L2374" s="2">
        <v>45850</v>
      </c>
      <c r="M2374" s="1" t="s">
        <v>4965</v>
      </c>
      <c r="N2374" s="1" t="s">
        <v>4964</v>
      </c>
    </row>
    <row r="2375" spans="1:14" x14ac:dyDescent="0.35">
      <c r="A2375" s="1" t="s">
        <v>4321</v>
      </c>
      <c r="B2375" s="3" t="s">
        <v>4308</v>
      </c>
      <c r="C2375" s="1" t="s">
        <v>4309</v>
      </c>
      <c r="D2375" s="1" t="s">
        <v>4963</v>
      </c>
      <c r="E2375" s="1" t="str">
        <f>"2310"</f>
        <v>2310</v>
      </c>
      <c r="F2375" s="1" t="s">
        <v>413</v>
      </c>
      <c r="G2375" s="1" t="s">
        <v>414</v>
      </c>
      <c r="H2375" s="1" t="s">
        <v>15</v>
      </c>
      <c r="I2375" s="3" t="str">
        <f>"1"</f>
        <v>1</v>
      </c>
      <c r="J2375" s="3" t="str">
        <f>"21488"</f>
        <v>21488</v>
      </c>
      <c r="K2375" s="2">
        <v>45838</v>
      </c>
      <c r="L2375" s="2">
        <v>45850</v>
      </c>
      <c r="M2375" s="1" t="s">
        <v>4850</v>
      </c>
      <c r="N2375" s="1" t="s">
        <v>4343</v>
      </c>
    </row>
    <row r="2376" spans="1:14" x14ac:dyDescent="0.35">
      <c r="A2376" s="1" t="s">
        <v>4321</v>
      </c>
      <c r="B2376" s="3" t="s">
        <v>2987</v>
      </c>
      <c r="C2376" s="1" t="s">
        <v>3058</v>
      </c>
      <c r="D2376" s="1" t="s">
        <v>4962</v>
      </c>
      <c r="E2376" s="1" t="str">
        <f>"2330"</f>
        <v>2330</v>
      </c>
      <c r="F2376" s="1" t="s">
        <v>70</v>
      </c>
      <c r="G2376" s="1" t="s">
        <v>71</v>
      </c>
      <c r="H2376" s="1" t="s">
        <v>15</v>
      </c>
      <c r="I2376" s="3" t="str">
        <f>"1"</f>
        <v>1</v>
      </c>
      <c r="J2376" s="3" t="str">
        <f>"16229"</f>
        <v>16229</v>
      </c>
      <c r="K2376" s="2">
        <v>45838</v>
      </c>
      <c r="L2376" s="2">
        <v>45850</v>
      </c>
      <c r="M2376" s="1" t="s">
        <v>4961</v>
      </c>
      <c r="N2376" s="1" t="s">
        <v>4960</v>
      </c>
    </row>
    <row r="2377" spans="1:14" x14ac:dyDescent="0.35">
      <c r="A2377" s="1" t="s">
        <v>4321</v>
      </c>
      <c r="B2377" s="3" t="s">
        <v>3513</v>
      </c>
      <c r="C2377" s="1" t="s">
        <v>3846</v>
      </c>
      <c r="D2377" s="1" t="s">
        <v>4959</v>
      </c>
      <c r="E2377" s="1" t="str">
        <f>"6545"</f>
        <v>6545</v>
      </c>
      <c r="F2377" s="1" t="str">
        <f>"016320167"</f>
        <v>016320167</v>
      </c>
      <c r="G2377" s="1" t="s">
        <v>1046</v>
      </c>
      <c r="H2377" s="1" t="s">
        <v>19</v>
      </c>
      <c r="I2377" s="3" t="str">
        <f>"8"</f>
        <v>8</v>
      </c>
      <c r="J2377" s="3">
        <v>422.49</v>
      </c>
      <c r="K2377" s="2">
        <v>45838</v>
      </c>
      <c r="L2377" s="2">
        <v>45850</v>
      </c>
      <c r="M2377" s="1" t="s">
        <v>4958</v>
      </c>
      <c r="N2377" s="1" t="s">
        <v>4957</v>
      </c>
    </row>
    <row r="2378" spans="1:14" x14ac:dyDescent="0.35">
      <c r="A2378" s="1" t="s">
        <v>4321</v>
      </c>
      <c r="B2378" s="3" t="s">
        <v>806</v>
      </c>
      <c r="C2378" s="1" t="s">
        <v>1079</v>
      </c>
      <c r="D2378" s="1" t="s">
        <v>4956</v>
      </c>
      <c r="E2378" s="1" t="str">
        <f>"6545"</f>
        <v>6545</v>
      </c>
      <c r="F2378" s="1" t="str">
        <f>"016320167"</f>
        <v>016320167</v>
      </c>
      <c r="G2378" s="1" t="s">
        <v>1046</v>
      </c>
      <c r="H2378" s="1" t="s">
        <v>19</v>
      </c>
      <c r="I2378" s="3" t="str">
        <f>"8"</f>
        <v>8</v>
      </c>
      <c r="J2378" s="3">
        <v>422.49</v>
      </c>
      <c r="K2378" s="2">
        <v>45838</v>
      </c>
      <c r="L2378" s="2">
        <v>45850</v>
      </c>
      <c r="M2378" s="1" t="s">
        <v>4955</v>
      </c>
      <c r="N2378" s="1" t="s">
        <v>4954</v>
      </c>
    </row>
    <row r="2379" spans="1:14" x14ac:dyDescent="0.35">
      <c r="A2379" s="1" t="s">
        <v>4321</v>
      </c>
      <c r="B2379" s="3" t="s">
        <v>3183</v>
      </c>
      <c r="C2379" s="1" t="s">
        <v>3184</v>
      </c>
      <c r="D2379" s="1" t="s">
        <v>4953</v>
      </c>
      <c r="E2379" s="1" t="str">
        <f>"3805"</f>
        <v>3805</v>
      </c>
      <c r="F2379" s="1" t="str">
        <f>"009954772"</f>
        <v>009954772</v>
      </c>
      <c r="G2379" s="1" t="s">
        <v>1336</v>
      </c>
      <c r="H2379" s="1" t="s">
        <v>15</v>
      </c>
      <c r="I2379" s="3" t="str">
        <f>"1"</f>
        <v>1</v>
      </c>
      <c r="J2379" s="3" t="str">
        <f>"150000"</f>
        <v>150000</v>
      </c>
      <c r="K2379" s="2">
        <v>45836</v>
      </c>
      <c r="L2379" s="2">
        <v>45850</v>
      </c>
      <c r="M2379" s="1" t="s">
        <v>4952</v>
      </c>
      <c r="N2379" s="1" t="s">
        <v>4951</v>
      </c>
    </row>
    <row r="2380" spans="1:14" x14ac:dyDescent="0.35">
      <c r="A2380" s="1" t="s">
        <v>4321</v>
      </c>
      <c r="B2380" s="3" t="s">
        <v>2114</v>
      </c>
      <c r="C2380" s="1" t="s">
        <v>2115</v>
      </c>
      <c r="D2380" s="1" t="s">
        <v>4950</v>
      </c>
      <c r="E2380" s="1" t="str">
        <f>"6260"</f>
        <v>6260</v>
      </c>
      <c r="F2380" s="1" t="str">
        <f>"011785560"</f>
        <v>011785560</v>
      </c>
      <c r="G2380" s="1" t="s">
        <v>657</v>
      </c>
      <c r="H2380" s="1" t="s">
        <v>290</v>
      </c>
      <c r="I2380" s="3" t="str">
        <f>"50"</f>
        <v>50</v>
      </c>
      <c r="J2380" s="3" t="str">
        <f>"25"</f>
        <v>25</v>
      </c>
      <c r="K2380" s="2">
        <v>45836</v>
      </c>
      <c r="L2380" s="2">
        <v>45850</v>
      </c>
      <c r="M2380" s="1" t="s">
        <v>4949</v>
      </c>
      <c r="N2380" s="1" t="s">
        <v>4948</v>
      </c>
    </row>
    <row r="2381" spans="1:14" x14ac:dyDescent="0.35">
      <c r="A2381" s="1" t="s">
        <v>4321</v>
      </c>
      <c r="B2381" s="3" t="s">
        <v>2638</v>
      </c>
      <c r="C2381" s="1" t="s">
        <v>2662</v>
      </c>
      <c r="D2381" s="1" t="s">
        <v>4947</v>
      </c>
      <c r="E2381" s="1" t="str">
        <f>"2340"</f>
        <v>2340</v>
      </c>
      <c r="F2381" s="1" t="s">
        <v>694</v>
      </c>
      <c r="G2381" s="1" t="s">
        <v>695</v>
      </c>
      <c r="H2381" s="1" t="s">
        <v>15</v>
      </c>
      <c r="I2381" s="3" t="str">
        <f>"1"</f>
        <v>1</v>
      </c>
      <c r="J2381" s="3" t="str">
        <f>"5099"</f>
        <v>5099</v>
      </c>
      <c r="K2381" s="2">
        <v>45836</v>
      </c>
      <c r="L2381" s="2">
        <v>45850</v>
      </c>
      <c r="M2381" s="1" t="s">
        <v>4946</v>
      </c>
      <c r="N2381" s="1" t="s">
        <v>4945</v>
      </c>
    </row>
    <row r="2382" spans="1:14" x14ac:dyDescent="0.35">
      <c r="A2382" s="1" t="s">
        <v>4321</v>
      </c>
      <c r="B2382" s="3" t="s">
        <v>3183</v>
      </c>
      <c r="C2382" s="1" t="s">
        <v>3256</v>
      </c>
      <c r="D2382" s="1" t="s">
        <v>4944</v>
      </c>
      <c r="E2382" s="1" t="str">
        <f>"2420"</f>
        <v>2420</v>
      </c>
      <c r="F2382" s="1" t="str">
        <f>"014493014"</f>
        <v>014493014</v>
      </c>
      <c r="G2382" s="1" t="s">
        <v>1975</v>
      </c>
      <c r="H2382" s="1" t="s">
        <v>15</v>
      </c>
      <c r="I2382" s="3" t="str">
        <f>"1"</f>
        <v>1</v>
      </c>
      <c r="J2382" s="3" t="str">
        <f>"38791"</f>
        <v>38791</v>
      </c>
      <c r="K2382" s="2">
        <v>45836</v>
      </c>
      <c r="L2382" s="2">
        <v>45850</v>
      </c>
      <c r="M2382" s="1" t="s">
        <v>4943</v>
      </c>
      <c r="N2382" s="1" t="s">
        <v>4942</v>
      </c>
    </row>
    <row r="2383" spans="1:14" x14ac:dyDescent="0.35">
      <c r="A2383" s="1" t="s">
        <v>4321</v>
      </c>
      <c r="B2383" s="3" t="s">
        <v>3885</v>
      </c>
      <c r="C2383" s="1" t="s">
        <v>3952</v>
      </c>
      <c r="D2383" s="1" t="s">
        <v>4941</v>
      </c>
      <c r="E2383" s="1" t="str">
        <f>"2320"</f>
        <v>2320</v>
      </c>
      <c r="F2383" s="1" t="str">
        <f>"011233999"</f>
        <v>011233999</v>
      </c>
      <c r="G2383" s="1" t="s">
        <v>373</v>
      </c>
      <c r="H2383" s="1" t="s">
        <v>15</v>
      </c>
      <c r="I2383" s="3" t="str">
        <f>"1"</f>
        <v>1</v>
      </c>
      <c r="J2383" s="3" t="str">
        <f>"11561"</f>
        <v>11561</v>
      </c>
      <c r="K2383" s="2">
        <v>45836</v>
      </c>
      <c r="L2383" s="2">
        <v>45850</v>
      </c>
      <c r="M2383" s="1" t="s">
        <v>3959</v>
      </c>
      <c r="N2383" s="1" t="s">
        <v>4940</v>
      </c>
    </row>
    <row r="2384" spans="1:14" x14ac:dyDescent="0.35">
      <c r="A2384" s="1" t="s">
        <v>4321</v>
      </c>
      <c r="B2384" s="3" t="s">
        <v>2720</v>
      </c>
      <c r="C2384" s="1" t="s">
        <v>2978</v>
      </c>
      <c r="D2384" s="1" t="s">
        <v>4939</v>
      </c>
      <c r="E2384" s="1" t="str">
        <f>"2340"</f>
        <v>2340</v>
      </c>
      <c r="F2384" s="1" t="s">
        <v>694</v>
      </c>
      <c r="G2384" s="1" t="s">
        <v>695</v>
      </c>
      <c r="H2384" s="1" t="s">
        <v>15</v>
      </c>
      <c r="I2384" s="3" t="str">
        <f>"1"</f>
        <v>1</v>
      </c>
      <c r="J2384" s="3" t="str">
        <f>"2495"</f>
        <v>2495</v>
      </c>
      <c r="K2384" s="2">
        <v>45836</v>
      </c>
      <c r="L2384" s="2">
        <v>45850</v>
      </c>
      <c r="M2384" s="1" t="s">
        <v>4938</v>
      </c>
      <c r="N2384" s="1" t="s">
        <v>4937</v>
      </c>
    </row>
    <row r="2385" spans="1:14" x14ac:dyDescent="0.35">
      <c r="A2385" s="1" t="s">
        <v>4321</v>
      </c>
      <c r="B2385" s="3" t="s">
        <v>11</v>
      </c>
      <c r="C2385" s="1" t="s">
        <v>65</v>
      </c>
      <c r="D2385" s="1" t="s">
        <v>4936</v>
      </c>
      <c r="E2385" s="1" t="str">
        <f>"2360"</f>
        <v>2360</v>
      </c>
      <c r="F2385" s="1" t="str">
        <f>"016420789"</f>
        <v>016420789</v>
      </c>
      <c r="G2385" s="1" t="s">
        <v>14</v>
      </c>
      <c r="H2385" s="1" t="s">
        <v>15</v>
      </c>
      <c r="I2385" s="3" t="str">
        <f>"1"</f>
        <v>1</v>
      </c>
      <c r="J2385" s="3" t="str">
        <f>"118759"</f>
        <v>118759</v>
      </c>
      <c r="K2385" s="2">
        <v>45820</v>
      </c>
      <c r="L2385" s="2">
        <v>45850</v>
      </c>
      <c r="M2385" s="1" t="s">
        <v>4935</v>
      </c>
      <c r="N2385" s="1" t="s">
        <v>4934</v>
      </c>
    </row>
    <row r="2386" spans="1:14" x14ac:dyDescent="0.35">
      <c r="A2386" s="1" t="s">
        <v>4321</v>
      </c>
      <c r="B2386" s="3" t="s">
        <v>3885</v>
      </c>
      <c r="C2386" s="1" t="s">
        <v>3901</v>
      </c>
      <c r="D2386" s="1" t="s">
        <v>4933</v>
      </c>
      <c r="E2386" s="1" t="str">
        <f>"7510"</f>
        <v>7510</v>
      </c>
      <c r="F2386" s="1" t="str">
        <f>"002666710"</f>
        <v>002666710</v>
      </c>
      <c r="G2386" s="1" t="s">
        <v>3987</v>
      </c>
      <c r="H2386" s="1" t="s">
        <v>532</v>
      </c>
      <c r="I2386" s="3" t="str">
        <f>"19"</f>
        <v>19</v>
      </c>
      <c r="J2386" s="3">
        <v>6.14</v>
      </c>
      <c r="K2386" s="2">
        <v>45848</v>
      </c>
      <c r="L2386" s="2">
        <v>45849</v>
      </c>
      <c r="M2386" s="1" t="s">
        <v>4932</v>
      </c>
      <c r="N2386" s="1" t="s">
        <v>4343</v>
      </c>
    </row>
    <row r="2387" spans="1:14" x14ac:dyDescent="0.35">
      <c r="A2387" s="1" t="s">
        <v>4321</v>
      </c>
      <c r="B2387" s="3" t="s">
        <v>4087</v>
      </c>
      <c r="C2387" s="1" t="s">
        <v>4093</v>
      </c>
      <c r="D2387" s="1" t="s">
        <v>4931</v>
      </c>
      <c r="E2387" s="1" t="str">
        <f>"7920"</f>
        <v>7920</v>
      </c>
      <c r="F2387" s="1" t="str">
        <f>"002671218"</f>
        <v>002671218</v>
      </c>
      <c r="G2387" s="1" t="s">
        <v>4930</v>
      </c>
      <c r="H2387" s="1" t="s">
        <v>15</v>
      </c>
      <c r="I2387" s="3" t="str">
        <f>"2"</f>
        <v>2</v>
      </c>
      <c r="J2387" s="3">
        <v>14.27</v>
      </c>
      <c r="K2387" s="2">
        <v>45848</v>
      </c>
      <c r="L2387" s="2">
        <v>45849</v>
      </c>
      <c r="M2387" s="1" t="s">
        <v>4120</v>
      </c>
      <c r="N2387" s="1" t="s">
        <v>4929</v>
      </c>
    </row>
    <row r="2388" spans="1:14" x14ac:dyDescent="0.35">
      <c r="A2388" s="1" t="s">
        <v>4321</v>
      </c>
      <c r="B2388" s="3" t="s">
        <v>4087</v>
      </c>
      <c r="C2388" s="1" t="s">
        <v>4093</v>
      </c>
      <c r="D2388" s="1" t="s">
        <v>4928</v>
      </c>
      <c r="E2388" s="1" t="str">
        <f>"7920"</f>
        <v>7920</v>
      </c>
      <c r="F2388" s="1" t="str">
        <f>"013433776"</f>
        <v>013433776</v>
      </c>
      <c r="G2388" s="1" t="s">
        <v>4300</v>
      </c>
      <c r="H2388" s="1" t="s">
        <v>4301</v>
      </c>
      <c r="I2388" s="3" t="str">
        <f>"2"</f>
        <v>2</v>
      </c>
      <c r="J2388" s="3">
        <v>115.69</v>
      </c>
      <c r="K2388" s="2">
        <v>45848</v>
      </c>
      <c r="L2388" s="2">
        <v>45849</v>
      </c>
      <c r="M2388" s="1" t="s">
        <v>4120</v>
      </c>
      <c r="N2388" s="1" t="s">
        <v>4927</v>
      </c>
    </row>
    <row r="2389" spans="1:14" x14ac:dyDescent="0.35">
      <c r="A2389" s="1" t="s">
        <v>4321</v>
      </c>
      <c r="B2389" s="3" t="s">
        <v>4926</v>
      </c>
      <c r="C2389" s="1" t="s">
        <v>4925</v>
      </c>
      <c r="D2389" s="1" t="s">
        <v>4924</v>
      </c>
      <c r="E2389" s="1" t="str">
        <f>"7510"</f>
        <v>7510</v>
      </c>
      <c r="F2389" s="1" t="str">
        <f>"016478718"</f>
        <v>016478718</v>
      </c>
      <c r="G2389" s="1" t="s">
        <v>4923</v>
      </c>
      <c r="H2389" s="1" t="s">
        <v>15</v>
      </c>
      <c r="I2389" s="3" t="str">
        <f>"1"</f>
        <v>1</v>
      </c>
      <c r="J2389" s="3" t="str">
        <f>"95"</f>
        <v>95</v>
      </c>
      <c r="K2389" s="2">
        <v>45846</v>
      </c>
      <c r="L2389" s="2">
        <v>45849</v>
      </c>
      <c r="M2389" s="1" t="s">
        <v>4922</v>
      </c>
      <c r="N2389" s="1" t="s">
        <v>4343</v>
      </c>
    </row>
    <row r="2390" spans="1:14" x14ac:dyDescent="0.35">
      <c r="A2390" s="1" t="s">
        <v>4321</v>
      </c>
      <c r="B2390" s="3" t="s">
        <v>3183</v>
      </c>
      <c r="C2390" s="1" t="s">
        <v>3364</v>
      </c>
      <c r="D2390" s="1" t="s">
        <v>4921</v>
      </c>
      <c r="E2390" s="1" t="str">
        <f>"6720"</f>
        <v>6720</v>
      </c>
      <c r="F2390" s="1" t="s">
        <v>443</v>
      </c>
      <c r="G2390" s="1" t="s">
        <v>444</v>
      </c>
      <c r="H2390" s="1" t="s">
        <v>15</v>
      </c>
      <c r="I2390" s="3" t="str">
        <f>"2"</f>
        <v>2</v>
      </c>
      <c r="J2390" s="3" t="str">
        <f>"800"</f>
        <v>800</v>
      </c>
      <c r="K2390" s="2">
        <v>45845</v>
      </c>
      <c r="L2390" s="2">
        <v>45849</v>
      </c>
      <c r="M2390" s="1" t="s">
        <v>4920</v>
      </c>
      <c r="N2390" s="1" t="s">
        <v>4919</v>
      </c>
    </row>
    <row r="2391" spans="1:14" x14ac:dyDescent="0.35">
      <c r="A2391" s="1" t="s">
        <v>4321</v>
      </c>
      <c r="B2391" s="3" t="s">
        <v>93</v>
      </c>
      <c r="C2391" s="1" t="s">
        <v>109</v>
      </c>
      <c r="D2391" s="1" t="s">
        <v>4918</v>
      </c>
      <c r="E2391" s="1" t="str">
        <f>"2330"</f>
        <v>2330</v>
      </c>
      <c r="F2391" s="1" t="s">
        <v>70</v>
      </c>
      <c r="G2391" s="1" t="s">
        <v>71</v>
      </c>
      <c r="H2391" s="1" t="s">
        <v>15</v>
      </c>
      <c r="I2391" s="3" t="str">
        <f>"1"</f>
        <v>1</v>
      </c>
      <c r="J2391" s="3" t="str">
        <f>"86023"</f>
        <v>86023</v>
      </c>
      <c r="K2391" s="2">
        <v>45843</v>
      </c>
      <c r="L2391" s="2">
        <v>45849</v>
      </c>
      <c r="M2391" s="1" t="s">
        <v>4917</v>
      </c>
      <c r="N2391" s="1" t="s">
        <v>4916</v>
      </c>
    </row>
    <row r="2392" spans="1:14" x14ac:dyDescent="0.35">
      <c r="A2392" s="1" t="s">
        <v>4321</v>
      </c>
      <c r="B2392" s="3" t="s">
        <v>3183</v>
      </c>
      <c r="C2392" s="1" t="s">
        <v>3184</v>
      </c>
      <c r="D2392" s="1" t="s">
        <v>4915</v>
      </c>
      <c r="E2392" s="1" t="str">
        <f>"2330"</f>
        <v>2330</v>
      </c>
      <c r="F2392" s="1" t="s">
        <v>70</v>
      </c>
      <c r="G2392" s="1" t="s">
        <v>71</v>
      </c>
      <c r="H2392" s="1" t="s">
        <v>15</v>
      </c>
      <c r="I2392" s="3" t="str">
        <f>"1"</f>
        <v>1</v>
      </c>
      <c r="J2392" s="3" t="str">
        <f>"86023"</f>
        <v>86023</v>
      </c>
      <c r="K2392" s="2">
        <v>45843</v>
      </c>
      <c r="L2392" s="2">
        <v>45849</v>
      </c>
      <c r="M2392" s="1" t="s">
        <v>4914</v>
      </c>
      <c r="N2392" s="1" t="s">
        <v>4913</v>
      </c>
    </row>
    <row r="2393" spans="1:14" x14ac:dyDescent="0.35">
      <c r="A2393" s="1" t="s">
        <v>4321</v>
      </c>
      <c r="B2393" s="3" t="s">
        <v>2638</v>
      </c>
      <c r="C2393" s="1" t="s">
        <v>2645</v>
      </c>
      <c r="D2393" s="1" t="s">
        <v>4912</v>
      </c>
      <c r="E2393" s="1" t="str">
        <f>"2330"</f>
        <v>2330</v>
      </c>
      <c r="F2393" s="1" t="s">
        <v>70</v>
      </c>
      <c r="G2393" s="1" t="s">
        <v>71</v>
      </c>
      <c r="H2393" s="1" t="s">
        <v>15</v>
      </c>
      <c r="I2393" s="3" t="str">
        <f>"1"</f>
        <v>1</v>
      </c>
      <c r="J2393" s="3" t="str">
        <f>"86023"</f>
        <v>86023</v>
      </c>
      <c r="K2393" s="2">
        <v>45843</v>
      </c>
      <c r="L2393" s="2">
        <v>45849</v>
      </c>
      <c r="M2393" s="1" t="s">
        <v>4911</v>
      </c>
      <c r="N2393" s="1" t="s">
        <v>4910</v>
      </c>
    </row>
    <row r="2394" spans="1:14" x14ac:dyDescent="0.35">
      <c r="A2394" s="1" t="s">
        <v>4321</v>
      </c>
      <c r="B2394" s="3" t="s">
        <v>4253</v>
      </c>
      <c r="C2394" s="1" t="s">
        <v>4268</v>
      </c>
      <c r="D2394" s="1" t="s">
        <v>4909</v>
      </c>
      <c r="E2394" s="1" t="str">
        <f>"2330"</f>
        <v>2330</v>
      </c>
      <c r="F2394" s="1" t="s">
        <v>70</v>
      </c>
      <c r="G2394" s="1" t="s">
        <v>71</v>
      </c>
      <c r="H2394" s="1" t="s">
        <v>15</v>
      </c>
      <c r="I2394" s="3" t="str">
        <f>"1"</f>
        <v>1</v>
      </c>
      <c r="J2394" s="3" t="str">
        <f>"86023"</f>
        <v>86023</v>
      </c>
      <c r="K2394" s="2">
        <v>45843</v>
      </c>
      <c r="L2394" s="2">
        <v>45849</v>
      </c>
      <c r="M2394" s="1" t="s">
        <v>4908</v>
      </c>
      <c r="N2394" s="1" t="s">
        <v>4907</v>
      </c>
    </row>
    <row r="2395" spans="1:14" x14ac:dyDescent="0.35">
      <c r="A2395" s="1" t="s">
        <v>4321</v>
      </c>
      <c r="B2395" s="3" t="s">
        <v>93</v>
      </c>
      <c r="C2395" s="1" t="s">
        <v>4416</v>
      </c>
      <c r="D2395" s="1" t="s">
        <v>4906</v>
      </c>
      <c r="E2395" s="1" t="str">
        <f>"2330"</f>
        <v>2330</v>
      </c>
      <c r="F2395" s="1" t="s">
        <v>70</v>
      </c>
      <c r="G2395" s="1" t="s">
        <v>71</v>
      </c>
      <c r="H2395" s="1" t="s">
        <v>15</v>
      </c>
      <c r="I2395" s="3" t="str">
        <f>"1"</f>
        <v>1</v>
      </c>
      <c r="J2395" s="3" t="str">
        <f>"86023"</f>
        <v>86023</v>
      </c>
      <c r="K2395" s="2">
        <v>45843</v>
      </c>
      <c r="L2395" s="2">
        <v>45849</v>
      </c>
      <c r="M2395" s="1" t="s">
        <v>4905</v>
      </c>
      <c r="N2395" s="1" t="s">
        <v>4904</v>
      </c>
    </row>
    <row r="2396" spans="1:14" x14ac:dyDescent="0.35">
      <c r="A2396" s="1" t="s">
        <v>4321</v>
      </c>
      <c r="B2396" s="3" t="s">
        <v>1857</v>
      </c>
      <c r="C2396" s="1" t="s">
        <v>1869</v>
      </c>
      <c r="D2396" s="1" t="s">
        <v>4903</v>
      </c>
      <c r="E2396" s="1" t="str">
        <f>"2330"</f>
        <v>2330</v>
      </c>
      <c r="F2396" s="1" t="s">
        <v>70</v>
      </c>
      <c r="G2396" s="1" t="s">
        <v>71</v>
      </c>
      <c r="H2396" s="1" t="s">
        <v>15</v>
      </c>
      <c r="I2396" s="3" t="str">
        <f>"1"</f>
        <v>1</v>
      </c>
      <c r="J2396" s="3" t="str">
        <f>"86023"</f>
        <v>86023</v>
      </c>
      <c r="K2396" s="2">
        <v>45843</v>
      </c>
      <c r="L2396" s="2">
        <v>45849</v>
      </c>
      <c r="M2396" s="1" t="s">
        <v>4902</v>
      </c>
      <c r="N2396" s="1" t="s">
        <v>4901</v>
      </c>
    </row>
    <row r="2397" spans="1:14" x14ac:dyDescent="0.35">
      <c r="A2397" s="1" t="s">
        <v>4321</v>
      </c>
      <c r="B2397" s="3" t="s">
        <v>2638</v>
      </c>
      <c r="C2397" s="1" t="s">
        <v>2662</v>
      </c>
      <c r="D2397" s="1" t="s">
        <v>4900</v>
      </c>
      <c r="E2397" s="1" t="str">
        <f>"2330"</f>
        <v>2330</v>
      </c>
      <c r="F2397" s="1" t="s">
        <v>70</v>
      </c>
      <c r="G2397" s="1" t="s">
        <v>71</v>
      </c>
      <c r="H2397" s="1" t="s">
        <v>15</v>
      </c>
      <c r="I2397" s="3" t="str">
        <f>"1"</f>
        <v>1</v>
      </c>
      <c r="J2397" s="3" t="str">
        <f>"86023"</f>
        <v>86023</v>
      </c>
      <c r="K2397" s="2">
        <v>45843</v>
      </c>
      <c r="L2397" s="2">
        <v>45849</v>
      </c>
      <c r="M2397" s="1" t="s">
        <v>4899</v>
      </c>
      <c r="N2397" s="1" t="s">
        <v>4898</v>
      </c>
    </row>
    <row r="2398" spans="1:14" x14ac:dyDescent="0.35">
      <c r="A2398" s="1" t="s">
        <v>4321</v>
      </c>
      <c r="B2398" s="3" t="s">
        <v>1857</v>
      </c>
      <c r="C2398" s="1" t="s">
        <v>4580</v>
      </c>
      <c r="D2398" s="1" t="s">
        <v>4897</v>
      </c>
      <c r="E2398" s="1" t="str">
        <f>"2330"</f>
        <v>2330</v>
      </c>
      <c r="F2398" s="1" t="s">
        <v>70</v>
      </c>
      <c r="G2398" s="1" t="s">
        <v>71</v>
      </c>
      <c r="H2398" s="1" t="s">
        <v>15</v>
      </c>
      <c r="I2398" s="3" t="str">
        <f>"1"</f>
        <v>1</v>
      </c>
      <c r="J2398" s="3" t="str">
        <f>"86023"</f>
        <v>86023</v>
      </c>
      <c r="K2398" s="2">
        <v>45843</v>
      </c>
      <c r="L2398" s="2">
        <v>45849</v>
      </c>
      <c r="M2398" s="1" t="s">
        <v>4896</v>
      </c>
      <c r="N2398" s="1" t="s">
        <v>4895</v>
      </c>
    </row>
    <row r="2399" spans="1:14" x14ac:dyDescent="0.35">
      <c r="A2399" s="1" t="s">
        <v>4321</v>
      </c>
      <c r="B2399" s="3" t="s">
        <v>2720</v>
      </c>
      <c r="C2399" s="1" t="s">
        <v>2770</v>
      </c>
      <c r="D2399" s="1" t="s">
        <v>4894</v>
      </c>
      <c r="E2399" s="1" t="str">
        <f>"2330"</f>
        <v>2330</v>
      </c>
      <c r="F2399" s="1" t="s">
        <v>70</v>
      </c>
      <c r="G2399" s="1" t="s">
        <v>71</v>
      </c>
      <c r="H2399" s="1" t="s">
        <v>15</v>
      </c>
      <c r="I2399" s="3" t="str">
        <f>"1"</f>
        <v>1</v>
      </c>
      <c r="J2399" s="3" t="str">
        <f>"86023"</f>
        <v>86023</v>
      </c>
      <c r="K2399" s="2">
        <v>45843</v>
      </c>
      <c r="L2399" s="2">
        <v>45849</v>
      </c>
      <c r="M2399" s="1" t="s">
        <v>4893</v>
      </c>
      <c r="N2399" s="1" t="s">
        <v>4892</v>
      </c>
    </row>
    <row r="2400" spans="1:14" x14ac:dyDescent="0.35">
      <c r="A2400" s="1" t="s">
        <v>4321</v>
      </c>
      <c r="B2400" s="3" t="s">
        <v>2248</v>
      </c>
      <c r="C2400" s="1" t="s">
        <v>4891</v>
      </c>
      <c r="D2400" s="1" t="s">
        <v>4890</v>
      </c>
      <c r="E2400" s="1" t="str">
        <f>"2330"</f>
        <v>2330</v>
      </c>
      <c r="F2400" s="1" t="s">
        <v>70</v>
      </c>
      <c r="G2400" s="1" t="s">
        <v>71</v>
      </c>
      <c r="H2400" s="1" t="s">
        <v>15</v>
      </c>
      <c r="I2400" s="3" t="str">
        <f>"1"</f>
        <v>1</v>
      </c>
      <c r="J2400" s="3" t="str">
        <f>"86023"</f>
        <v>86023</v>
      </c>
      <c r="K2400" s="2">
        <v>45843</v>
      </c>
      <c r="L2400" s="2">
        <v>45849</v>
      </c>
      <c r="M2400" s="1" t="s">
        <v>4889</v>
      </c>
      <c r="N2400" s="1" t="s">
        <v>4888</v>
      </c>
    </row>
    <row r="2401" spans="1:14" x14ac:dyDescent="0.35">
      <c r="A2401" s="1" t="s">
        <v>4321</v>
      </c>
      <c r="B2401" s="3" t="s">
        <v>2145</v>
      </c>
      <c r="C2401" s="1" t="s">
        <v>2153</v>
      </c>
      <c r="D2401" s="1" t="s">
        <v>4887</v>
      </c>
      <c r="E2401" s="1" t="str">
        <f>"2330"</f>
        <v>2330</v>
      </c>
      <c r="F2401" s="1" t="s">
        <v>70</v>
      </c>
      <c r="G2401" s="1" t="s">
        <v>71</v>
      </c>
      <c r="H2401" s="1" t="s">
        <v>15</v>
      </c>
      <c r="I2401" s="3" t="str">
        <f>"1"</f>
        <v>1</v>
      </c>
      <c r="J2401" s="3" t="str">
        <f>"86023"</f>
        <v>86023</v>
      </c>
      <c r="K2401" s="2">
        <v>45843</v>
      </c>
      <c r="L2401" s="2">
        <v>45849</v>
      </c>
      <c r="M2401" s="1" t="s">
        <v>4886</v>
      </c>
      <c r="N2401" s="1" t="s">
        <v>4885</v>
      </c>
    </row>
    <row r="2402" spans="1:14" x14ac:dyDescent="0.35">
      <c r="A2402" s="1" t="s">
        <v>4321</v>
      </c>
      <c r="B2402" s="3" t="s">
        <v>691</v>
      </c>
      <c r="C2402" s="1" t="s">
        <v>4884</v>
      </c>
      <c r="D2402" s="1" t="s">
        <v>4883</v>
      </c>
      <c r="E2402" s="1" t="str">
        <f>"2330"</f>
        <v>2330</v>
      </c>
      <c r="F2402" s="1" t="s">
        <v>70</v>
      </c>
      <c r="G2402" s="1" t="s">
        <v>71</v>
      </c>
      <c r="H2402" s="1" t="s">
        <v>15</v>
      </c>
      <c r="I2402" s="3" t="str">
        <f>"1"</f>
        <v>1</v>
      </c>
      <c r="J2402" s="3" t="str">
        <f>"86023"</f>
        <v>86023</v>
      </c>
      <c r="K2402" s="2">
        <v>45843</v>
      </c>
      <c r="L2402" s="2">
        <v>45849</v>
      </c>
      <c r="M2402" s="1" t="s">
        <v>4882</v>
      </c>
      <c r="N2402" s="1" t="s">
        <v>4881</v>
      </c>
    </row>
    <row r="2403" spans="1:14" x14ac:dyDescent="0.35">
      <c r="A2403" s="1" t="s">
        <v>4321</v>
      </c>
      <c r="B2403" s="3" t="s">
        <v>2638</v>
      </c>
      <c r="C2403" s="1" t="s">
        <v>2666</v>
      </c>
      <c r="D2403" s="1" t="s">
        <v>4880</v>
      </c>
      <c r="E2403" s="1" t="str">
        <f>"2330"</f>
        <v>2330</v>
      </c>
      <c r="F2403" s="1" t="s">
        <v>70</v>
      </c>
      <c r="G2403" s="1" t="s">
        <v>71</v>
      </c>
      <c r="H2403" s="1" t="s">
        <v>15</v>
      </c>
      <c r="I2403" s="3" t="str">
        <f>"1"</f>
        <v>1</v>
      </c>
      <c r="J2403" s="3" t="str">
        <f>"86023"</f>
        <v>86023</v>
      </c>
      <c r="K2403" s="2">
        <v>45843</v>
      </c>
      <c r="L2403" s="2">
        <v>45849</v>
      </c>
      <c r="M2403" s="1" t="s">
        <v>4879</v>
      </c>
      <c r="N2403" s="1" t="s">
        <v>4878</v>
      </c>
    </row>
    <row r="2404" spans="1:14" x14ac:dyDescent="0.35">
      <c r="A2404" s="1" t="s">
        <v>4321</v>
      </c>
      <c r="B2404" s="3" t="s">
        <v>3105</v>
      </c>
      <c r="C2404" s="1" t="s">
        <v>4877</v>
      </c>
      <c r="D2404" s="1" t="s">
        <v>4876</v>
      </c>
      <c r="E2404" s="1" t="str">
        <f>"2330"</f>
        <v>2330</v>
      </c>
      <c r="F2404" s="1" t="s">
        <v>70</v>
      </c>
      <c r="G2404" s="1" t="s">
        <v>71</v>
      </c>
      <c r="H2404" s="1" t="s">
        <v>15</v>
      </c>
      <c r="I2404" s="3" t="str">
        <f>"1"</f>
        <v>1</v>
      </c>
      <c r="J2404" s="3" t="str">
        <f>"86023"</f>
        <v>86023</v>
      </c>
      <c r="K2404" s="2">
        <v>45843</v>
      </c>
      <c r="L2404" s="2">
        <v>45849</v>
      </c>
      <c r="M2404" s="1" t="s">
        <v>4875</v>
      </c>
      <c r="N2404" s="1" t="s">
        <v>4874</v>
      </c>
    </row>
    <row r="2405" spans="1:14" x14ac:dyDescent="0.35">
      <c r="A2405" s="1" t="s">
        <v>4321</v>
      </c>
      <c r="B2405" s="3" t="s">
        <v>2000</v>
      </c>
      <c r="C2405" s="1" t="s">
        <v>2105</v>
      </c>
      <c r="D2405" s="1" t="s">
        <v>4873</v>
      </c>
      <c r="E2405" s="1" t="str">
        <f>"2330"</f>
        <v>2330</v>
      </c>
      <c r="F2405" s="1" t="s">
        <v>70</v>
      </c>
      <c r="G2405" s="1" t="s">
        <v>71</v>
      </c>
      <c r="H2405" s="1" t="s">
        <v>15</v>
      </c>
      <c r="I2405" s="3" t="str">
        <f>"1"</f>
        <v>1</v>
      </c>
      <c r="J2405" s="3" t="str">
        <f>"86023"</f>
        <v>86023</v>
      </c>
      <c r="K2405" s="2">
        <v>45843</v>
      </c>
      <c r="L2405" s="2">
        <v>45849</v>
      </c>
      <c r="M2405" s="1" t="s">
        <v>4872</v>
      </c>
      <c r="N2405" s="1" t="s">
        <v>4871</v>
      </c>
    </row>
    <row r="2406" spans="1:14" x14ac:dyDescent="0.35">
      <c r="A2406" s="1" t="s">
        <v>4321</v>
      </c>
      <c r="B2406" s="3" t="s">
        <v>2248</v>
      </c>
      <c r="C2406" s="1" t="s">
        <v>2375</v>
      </c>
      <c r="D2406" s="1" t="s">
        <v>4870</v>
      </c>
      <c r="E2406" s="1" t="str">
        <f>"2330"</f>
        <v>2330</v>
      </c>
      <c r="F2406" s="1" t="s">
        <v>70</v>
      </c>
      <c r="G2406" s="1" t="s">
        <v>71</v>
      </c>
      <c r="H2406" s="1" t="s">
        <v>15</v>
      </c>
      <c r="I2406" s="3" t="str">
        <f>"1"</f>
        <v>1</v>
      </c>
      <c r="J2406" s="3" t="str">
        <f>"86023"</f>
        <v>86023</v>
      </c>
      <c r="K2406" s="2">
        <v>45843</v>
      </c>
      <c r="L2406" s="2">
        <v>45849</v>
      </c>
      <c r="M2406" s="1" t="s">
        <v>4869</v>
      </c>
      <c r="N2406" s="1" t="s">
        <v>4868</v>
      </c>
    </row>
    <row r="2407" spans="1:14" x14ac:dyDescent="0.35">
      <c r="A2407" s="1" t="s">
        <v>4321</v>
      </c>
      <c r="B2407" s="3" t="s">
        <v>601</v>
      </c>
      <c r="C2407" s="1" t="s">
        <v>667</v>
      </c>
      <c r="D2407" s="1" t="s">
        <v>4867</v>
      </c>
      <c r="E2407" s="1" t="str">
        <f>"2330"</f>
        <v>2330</v>
      </c>
      <c r="F2407" s="1" t="s">
        <v>70</v>
      </c>
      <c r="G2407" s="1" t="s">
        <v>71</v>
      </c>
      <c r="H2407" s="1" t="s">
        <v>15</v>
      </c>
      <c r="I2407" s="3" t="str">
        <f>"1"</f>
        <v>1</v>
      </c>
      <c r="J2407" s="3" t="str">
        <f>"86023"</f>
        <v>86023</v>
      </c>
      <c r="K2407" s="2">
        <v>45843</v>
      </c>
      <c r="L2407" s="2">
        <v>45849</v>
      </c>
      <c r="M2407" s="1" t="s">
        <v>4866</v>
      </c>
      <c r="N2407" s="1" t="s">
        <v>4865</v>
      </c>
    </row>
    <row r="2408" spans="1:14" x14ac:dyDescent="0.35">
      <c r="A2408" s="1" t="s">
        <v>4321</v>
      </c>
      <c r="B2408" s="3" t="s">
        <v>3885</v>
      </c>
      <c r="C2408" s="1" t="s">
        <v>4019</v>
      </c>
      <c r="D2408" s="1" t="s">
        <v>4864</v>
      </c>
      <c r="E2408" s="1" t="str">
        <f>"2330"</f>
        <v>2330</v>
      </c>
      <c r="F2408" s="1" t="s">
        <v>70</v>
      </c>
      <c r="G2408" s="1" t="s">
        <v>71</v>
      </c>
      <c r="H2408" s="1" t="s">
        <v>15</v>
      </c>
      <c r="I2408" s="3" t="str">
        <f>"1"</f>
        <v>1</v>
      </c>
      <c r="J2408" s="3" t="str">
        <f>"86023"</f>
        <v>86023</v>
      </c>
      <c r="K2408" s="2">
        <v>45843</v>
      </c>
      <c r="L2408" s="2">
        <v>45849</v>
      </c>
      <c r="M2408" s="1" t="s">
        <v>4863</v>
      </c>
      <c r="N2408" s="1" t="s">
        <v>4862</v>
      </c>
    </row>
    <row r="2409" spans="1:14" x14ac:dyDescent="0.35">
      <c r="A2409" s="1" t="s">
        <v>4321</v>
      </c>
      <c r="B2409" s="3" t="s">
        <v>691</v>
      </c>
      <c r="C2409" s="1" t="s">
        <v>714</v>
      </c>
      <c r="D2409" s="1" t="s">
        <v>4861</v>
      </c>
      <c r="E2409" s="1" t="str">
        <f>"2330"</f>
        <v>2330</v>
      </c>
      <c r="F2409" s="1" t="s">
        <v>70</v>
      </c>
      <c r="G2409" s="1" t="s">
        <v>71</v>
      </c>
      <c r="H2409" s="1" t="s">
        <v>15</v>
      </c>
      <c r="I2409" s="3" t="str">
        <f>"1"</f>
        <v>1</v>
      </c>
      <c r="J2409" s="3" t="str">
        <f>"86023"</f>
        <v>86023</v>
      </c>
      <c r="K2409" s="2">
        <v>45843</v>
      </c>
      <c r="L2409" s="2">
        <v>45849</v>
      </c>
      <c r="M2409" s="1" t="s">
        <v>4860</v>
      </c>
      <c r="N2409" s="1" t="s">
        <v>4859</v>
      </c>
    </row>
    <row r="2410" spans="1:14" x14ac:dyDescent="0.35">
      <c r="A2410" s="1" t="s">
        <v>4321</v>
      </c>
      <c r="B2410" s="3" t="s">
        <v>806</v>
      </c>
      <c r="C2410" s="1" t="s">
        <v>870</v>
      </c>
      <c r="D2410" s="1" t="s">
        <v>4858</v>
      </c>
      <c r="E2410" s="1" t="str">
        <f>"2090"</f>
        <v>2090</v>
      </c>
      <c r="F2410" s="1" t="str">
        <f>"005919719"</f>
        <v>005919719</v>
      </c>
      <c r="G2410" s="1" t="s">
        <v>4857</v>
      </c>
      <c r="H2410" s="1" t="s">
        <v>15</v>
      </c>
      <c r="I2410" s="3" t="str">
        <f>"5"</f>
        <v>5</v>
      </c>
      <c r="J2410" s="3">
        <v>2152.59</v>
      </c>
      <c r="K2410" s="2">
        <v>45840</v>
      </c>
      <c r="L2410" s="2">
        <v>45849</v>
      </c>
      <c r="M2410" s="1" t="s">
        <v>4856</v>
      </c>
      <c r="N2410" s="1" t="s">
        <v>4855</v>
      </c>
    </row>
    <row r="2411" spans="1:14" x14ac:dyDescent="0.35">
      <c r="A2411" s="1" t="s">
        <v>4321</v>
      </c>
      <c r="B2411" s="3" t="s">
        <v>3513</v>
      </c>
      <c r="C2411" s="1" t="s">
        <v>3651</v>
      </c>
      <c r="D2411" s="1" t="s">
        <v>4854</v>
      </c>
      <c r="E2411" s="1" t="str">
        <f>"1240"</f>
        <v>1240</v>
      </c>
      <c r="F2411" s="1" t="str">
        <f>"015403690"</f>
        <v>015403690</v>
      </c>
      <c r="G2411" s="1" t="s">
        <v>269</v>
      </c>
      <c r="H2411" s="1" t="s">
        <v>15</v>
      </c>
      <c r="I2411" s="3" t="str">
        <f>"12"</f>
        <v>12</v>
      </c>
      <c r="J2411" s="3" t="str">
        <f>"371"</f>
        <v>371</v>
      </c>
      <c r="K2411" s="2">
        <v>45839</v>
      </c>
      <c r="L2411" s="2">
        <v>45849</v>
      </c>
      <c r="M2411" s="1" t="s">
        <v>4853</v>
      </c>
      <c r="N2411" s="1" t="s">
        <v>4852</v>
      </c>
    </row>
    <row r="2412" spans="1:14" x14ac:dyDescent="0.35">
      <c r="A2412" s="1" t="s">
        <v>4321</v>
      </c>
      <c r="B2412" s="3" t="s">
        <v>4308</v>
      </c>
      <c r="C2412" s="1" t="s">
        <v>4309</v>
      </c>
      <c r="D2412" s="1" t="s">
        <v>4851</v>
      </c>
      <c r="E2412" s="1" t="str">
        <f>"2310"</f>
        <v>2310</v>
      </c>
      <c r="F2412" s="1" t="s">
        <v>413</v>
      </c>
      <c r="G2412" s="1" t="s">
        <v>414</v>
      </c>
      <c r="H2412" s="1" t="s">
        <v>15</v>
      </c>
      <c r="I2412" s="3" t="str">
        <f>"1"</f>
        <v>1</v>
      </c>
      <c r="J2412" s="3" t="str">
        <f>"21488"</f>
        <v>21488</v>
      </c>
      <c r="K2412" s="2">
        <v>45838</v>
      </c>
      <c r="L2412" s="2">
        <v>45849</v>
      </c>
      <c r="M2412" s="1" t="s">
        <v>4850</v>
      </c>
      <c r="N2412" s="1" t="s">
        <v>4343</v>
      </c>
    </row>
    <row r="2413" spans="1:14" x14ac:dyDescent="0.35">
      <c r="A2413" s="1" t="s">
        <v>4321</v>
      </c>
      <c r="B2413" s="3" t="s">
        <v>1445</v>
      </c>
      <c r="C2413" s="1" t="s">
        <v>1459</v>
      </c>
      <c r="D2413" s="1" t="s">
        <v>4849</v>
      </c>
      <c r="E2413" s="1" t="str">
        <f>"5855"</f>
        <v>5855</v>
      </c>
      <c r="F2413" s="1" t="str">
        <f>"014684169"</f>
        <v>014684169</v>
      </c>
      <c r="G2413" s="1" t="s">
        <v>1931</v>
      </c>
      <c r="H2413" s="1" t="s">
        <v>15</v>
      </c>
      <c r="I2413" s="3" t="str">
        <f>"1"</f>
        <v>1</v>
      </c>
      <c r="J2413" s="3">
        <v>918.54</v>
      </c>
      <c r="K2413" s="2">
        <v>45837</v>
      </c>
      <c r="L2413" s="2">
        <v>45849</v>
      </c>
      <c r="M2413" s="1" t="s">
        <v>4839</v>
      </c>
      <c r="N2413" s="1" t="s">
        <v>4848</v>
      </c>
    </row>
    <row r="2414" spans="1:14" x14ac:dyDescent="0.35">
      <c r="A2414" s="1" t="s">
        <v>4321</v>
      </c>
      <c r="B2414" s="3" t="s">
        <v>1445</v>
      </c>
      <c r="C2414" s="1" t="s">
        <v>1459</v>
      </c>
      <c r="D2414" s="1" t="s">
        <v>4847</v>
      </c>
      <c r="E2414" s="1" t="str">
        <f>"5855"</f>
        <v>5855</v>
      </c>
      <c r="F2414" s="1" t="str">
        <f>"014684169"</f>
        <v>014684169</v>
      </c>
      <c r="G2414" s="1" t="s">
        <v>1931</v>
      </c>
      <c r="H2414" s="1" t="s">
        <v>15</v>
      </c>
      <c r="I2414" s="3" t="str">
        <f>"1"</f>
        <v>1</v>
      </c>
      <c r="J2414" s="3">
        <v>918.54</v>
      </c>
      <c r="K2414" s="2">
        <v>45837</v>
      </c>
      <c r="L2414" s="2">
        <v>45849</v>
      </c>
      <c r="M2414" s="1" t="s">
        <v>1500</v>
      </c>
      <c r="N2414" s="1" t="s">
        <v>4846</v>
      </c>
    </row>
    <row r="2415" spans="1:14" x14ac:dyDescent="0.35">
      <c r="A2415" s="1" t="s">
        <v>4321</v>
      </c>
      <c r="B2415" s="3" t="s">
        <v>1445</v>
      </c>
      <c r="C2415" s="1" t="s">
        <v>1459</v>
      </c>
      <c r="D2415" s="1" t="s">
        <v>4845</v>
      </c>
      <c r="E2415" s="1" t="str">
        <f>"5855"</f>
        <v>5855</v>
      </c>
      <c r="F2415" s="1" t="str">
        <f>"014684169"</f>
        <v>014684169</v>
      </c>
      <c r="G2415" s="1" t="s">
        <v>1931</v>
      </c>
      <c r="H2415" s="1" t="s">
        <v>15</v>
      </c>
      <c r="I2415" s="3" t="str">
        <f>"1"</f>
        <v>1</v>
      </c>
      <c r="J2415" s="3">
        <v>918.54</v>
      </c>
      <c r="K2415" s="2">
        <v>45837</v>
      </c>
      <c r="L2415" s="2">
        <v>45849</v>
      </c>
      <c r="M2415" s="1" t="s">
        <v>4839</v>
      </c>
      <c r="N2415" s="1" t="s">
        <v>4844</v>
      </c>
    </row>
    <row r="2416" spans="1:14" x14ac:dyDescent="0.35">
      <c r="A2416" s="1" t="s">
        <v>4321</v>
      </c>
      <c r="B2416" s="3" t="s">
        <v>1445</v>
      </c>
      <c r="C2416" s="1" t="s">
        <v>1459</v>
      </c>
      <c r="D2416" s="1" t="s">
        <v>4843</v>
      </c>
      <c r="E2416" s="1" t="str">
        <f>"5855"</f>
        <v>5855</v>
      </c>
      <c r="F2416" s="1" t="str">
        <f>"014200851"</f>
        <v>014200851</v>
      </c>
      <c r="G2416" s="1" t="s">
        <v>1931</v>
      </c>
      <c r="H2416" s="1" t="s">
        <v>15</v>
      </c>
      <c r="I2416" s="3" t="str">
        <f>"2"</f>
        <v>2</v>
      </c>
      <c r="J2416" s="3">
        <v>1437.15</v>
      </c>
      <c r="K2416" s="2">
        <v>45837</v>
      </c>
      <c r="L2416" s="2">
        <v>45849</v>
      </c>
      <c r="M2416" s="1" t="s">
        <v>4842</v>
      </c>
      <c r="N2416" s="1" t="s">
        <v>4841</v>
      </c>
    </row>
    <row r="2417" spans="1:14" x14ac:dyDescent="0.35">
      <c r="A2417" s="1" t="s">
        <v>4321</v>
      </c>
      <c r="B2417" s="3" t="s">
        <v>1445</v>
      </c>
      <c r="C2417" s="1" t="s">
        <v>1459</v>
      </c>
      <c r="D2417" s="1" t="s">
        <v>4840</v>
      </c>
      <c r="E2417" s="1" t="str">
        <f>"5855"</f>
        <v>5855</v>
      </c>
      <c r="F2417" s="1" t="str">
        <f>"014684169"</f>
        <v>014684169</v>
      </c>
      <c r="G2417" s="1" t="s">
        <v>1931</v>
      </c>
      <c r="H2417" s="1" t="s">
        <v>15</v>
      </c>
      <c r="I2417" s="3" t="str">
        <f>"1"</f>
        <v>1</v>
      </c>
      <c r="J2417" s="3">
        <v>918.54</v>
      </c>
      <c r="K2417" s="2">
        <v>45837</v>
      </c>
      <c r="L2417" s="2">
        <v>45849</v>
      </c>
      <c r="M2417" s="1" t="s">
        <v>4839</v>
      </c>
      <c r="N2417" s="1" t="s">
        <v>4838</v>
      </c>
    </row>
    <row r="2418" spans="1:14" x14ac:dyDescent="0.35">
      <c r="A2418" s="1" t="s">
        <v>4321</v>
      </c>
      <c r="B2418" s="3" t="s">
        <v>93</v>
      </c>
      <c r="C2418" s="1" t="s">
        <v>408</v>
      </c>
      <c r="D2418" s="1" t="s">
        <v>4837</v>
      </c>
      <c r="E2418" s="1" t="str">
        <f>"2310"</f>
        <v>2310</v>
      </c>
      <c r="F2418" s="1" t="s">
        <v>413</v>
      </c>
      <c r="G2418" s="1" t="s">
        <v>414</v>
      </c>
      <c r="H2418" s="1" t="s">
        <v>15</v>
      </c>
      <c r="I2418" s="3" t="str">
        <f>"1"</f>
        <v>1</v>
      </c>
      <c r="J2418" s="3" t="str">
        <f>"21488"</f>
        <v>21488</v>
      </c>
      <c r="K2418" s="2">
        <v>45837</v>
      </c>
      <c r="L2418" s="2">
        <v>45849</v>
      </c>
      <c r="M2418" s="1" t="s">
        <v>415</v>
      </c>
      <c r="N2418" s="1" t="s">
        <v>4836</v>
      </c>
    </row>
    <row r="2419" spans="1:14" x14ac:dyDescent="0.35">
      <c r="A2419" s="1" t="s">
        <v>4321</v>
      </c>
      <c r="B2419" s="3" t="s">
        <v>4253</v>
      </c>
      <c r="C2419" s="1" t="s">
        <v>4271</v>
      </c>
      <c r="D2419" s="1" t="s">
        <v>4835</v>
      </c>
      <c r="E2419" s="1" t="str">
        <f>"5855"</f>
        <v>5855</v>
      </c>
      <c r="F2419" s="1" t="str">
        <f>"015330555"</f>
        <v>015330555</v>
      </c>
      <c r="G2419" s="1" t="s">
        <v>2656</v>
      </c>
      <c r="H2419" s="1" t="s">
        <v>15</v>
      </c>
      <c r="I2419" s="3" t="str">
        <f>"15"</f>
        <v>15</v>
      </c>
      <c r="J2419" s="3" t="str">
        <f>"1800"</f>
        <v>1800</v>
      </c>
      <c r="K2419" s="2">
        <v>45832</v>
      </c>
      <c r="L2419" s="2">
        <v>45849</v>
      </c>
      <c r="M2419" s="1" t="s">
        <v>4834</v>
      </c>
      <c r="N2419" s="1" t="s">
        <v>4833</v>
      </c>
    </row>
    <row r="2420" spans="1:14" x14ac:dyDescent="0.35">
      <c r="A2420" s="1" t="s">
        <v>4321</v>
      </c>
      <c r="B2420" s="3" t="s">
        <v>2720</v>
      </c>
      <c r="C2420" s="1" t="s">
        <v>4832</v>
      </c>
      <c r="D2420" s="1" t="s">
        <v>4831</v>
      </c>
      <c r="E2420" s="1" t="str">
        <f>"8465"</f>
        <v>8465</v>
      </c>
      <c r="F2420" s="1" t="s">
        <v>2516</v>
      </c>
      <c r="G2420" s="1" t="s">
        <v>2517</v>
      </c>
      <c r="H2420" s="1" t="s">
        <v>15</v>
      </c>
      <c r="I2420" s="3" t="str">
        <f>"11"</f>
        <v>11</v>
      </c>
      <c r="J2420" s="3" t="str">
        <f>"50"</f>
        <v>50</v>
      </c>
      <c r="K2420" s="2">
        <v>45827</v>
      </c>
      <c r="L2420" s="2">
        <v>45849</v>
      </c>
      <c r="M2420" s="1" t="s">
        <v>4830</v>
      </c>
      <c r="N2420" s="1" t="s">
        <v>4829</v>
      </c>
    </row>
    <row r="2421" spans="1:14" x14ac:dyDescent="0.35">
      <c r="A2421" s="1" t="s">
        <v>4321</v>
      </c>
      <c r="B2421" s="3" t="s">
        <v>4308</v>
      </c>
      <c r="C2421" s="1" t="s">
        <v>4309</v>
      </c>
      <c r="D2421" s="1" t="s">
        <v>4828</v>
      </c>
      <c r="E2421" s="1" t="str">
        <f>"2310"</f>
        <v>2310</v>
      </c>
      <c r="F2421" s="1" t="str">
        <f>"000676727"</f>
        <v>000676727</v>
      </c>
      <c r="G2421" s="1" t="s">
        <v>410</v>
      </c>
      <c r="H2421" s="1" t="s">
        <v>15</v>
      </c>
      <c r="I2421" s="3" t="str">
        <f>"1"</f>
        <v>1</v>
      </c>
      <c r="J2421" s="3" t="str">
        <f>"16400"</f>
        <v>16400</v>
      </c>
      <c r="K2421" s="2">
        <v>45827</v>
      </c>
      <c r="L2421" s="2">
        <v>45849</v>
      </c>
      <c r="M2421" s="1" t="s">
        <v>4826</v>
      </c>
      <c r="N2421" s="1" t="s">
        <v>4343</v>
      </c>
    </row>
    <row r="2422" spans="1:14" x14ac:dyDescent="0.35">
      <c r="A2422" s="1" t="s">
        <v>4321</v>
      </c>
      <c r="B2422" s="3" t="s">
        <v>4308</v>
      </c>
      <c r="C2422" s="1" t="s">
        <v>4309</v>
      </c>
      <c r="D2422" s="1" t="s">
        <v>4827</v>
      </c>
      <c r="E2422" s="1" t="str">
        <f>"2310"</f>
        <v>2310</v>
      </c>
      <c r="F2422" s="1" t="str">
        <f>"000676727"</f>
        <v>000676727</v>
      </c>
      <c r="G2422" s="1" t="s">
        <v>410</v>
      </c>
      <c r="H2422" s="1" t="s">
        <v>15</v>
      </c>
      <c r="I2422" s="3" t="str">
        <f>"1"</f>
        <v>1</v>
      </c>
      <c r="J2422" s="3" t="str">
        <f>"16400"</f>
        <v>16400</v>
      </c>
      <c r="K2422" s="2">
        <v>45827</v>
      </c>
      <c r="L2422" s="2">
        <v>45849</v>
      </c>
      <c r="M2422" s="1" t="s">
        <v>4826</v>
      </c>
      <c r="N2422" s="1" t="s">
        <v>4343</v>
      </c>
    </row>
    <row r="2423" spans="1:14" x14ac:dyDescent="0.35">
      <c r="A2423" s="1" t="s">
        <v>4321</v>
      </c>
      <c r="B2423" s="3" t="s">
        <v>1857</v>
      </c>
      <c r="C2423" s="1" t="s">
        <v>1869</v>
      </c>
      <c r="D2423" s="1" t="s">
        <v>4825</v>
      </c>
      <c r="E2423" s="1" t="str">
        <f>"5855"</f>
        <v>5855</v>
      </c>
      <c r="F2423" s="1" t="s">
        <v>2918</v>
      </c>
      <c r="G2423" s="1" t="s">
        <v>2919</v>
      </c>
      <c r="H2423" s="1" t="s">
        <v>15</v>
      </c>
      <c r="I2423" s="3" t="str">
        <f>"4"</f>
        <v>4</v>
      </c>
      <c r="J2423" s="3" t="str">
        <f>"8000"</f>
        <v>8000</v>
      </c>
      <c r="K2423" s="2">
        <v>45823</v>
      </c>
      <c r="L2423" s="2">
        <v>45849</v>
      </c>
      <c r="M2423" s="1" t="s">
        <v>4824</v>
      </c>
      <c r="N2423" s="1" t="s">
        <v>4823</v>
      </c>
    </row>
    <row r="2424" spans="1:14" x14ac:dyDescent="0.35">
      <c r="A2424" s="1" t="s">
        <v>4321</v>
      </c>
      <c r="B2424" s="3" t="s">
        <v>3183</v>
      </c>
      <c r="C2424" s="1" t="s">
        <v>3184</v>
      </c>
      <c r="D2424" s="1" t="s">
        <v>4822</v>
      </c>
      <c r="E2424" s="1" t="str">
        <f>"2320"</f>
        <v>2320</v>
      </c>
      <c r="F2424" s="1" t="s">
        <v>1871</v>
      </c>
      <c r="G2424" s="1" t="s">
        <v>1872</v>
      </c>
      <c r="H2424" s="1" t="s">
        <v>15</v>
      </c>
      <c r="I2424" s="3" t="str">
        <f>"1"</f>
        <v>1</v>
      </c>
      <c r="J2424" s="3">
        <v>25718.639999999999</v>
      </c>
      <c r="K2424" s="2">
        <v>45822</v>
      </c>
      <c r="L2424" s="2">
        <v>45849</v>
      </c>
      <c r="M2424" s="1" t="s">
        <v>4821</v>
      </c>
      <c r="N2424" s="1" t="s">
        <v>4820</v>
      </c>
    </row>
    <row r="2425" spans="1:14" x14ac:dyDescent="0.35">
      <c r="A2425" s="1" t="s">
        <v>4321</v>
      </c>
      <c r="B2425" s="3" t="s">
        <v>93</v>
      </c>
      <c r="C2425" s="1" t="s">
        <v>450</v>
      </c>
      <c r="D2425" s="1" t="s">
        <v>4819</v>
      </c>
      <c r="E2425" s="1" t="str">
        <f>"2320"</f>
        <v>2320</v>
      </c>
      <c r="F2425" s="1" t="str">
        <f>"005548259"</f>
        <v>005548259</v>
      </c>
      <c r="G2425" s="1" t="s">
        <v>1820</v>
      </c>
      <c r="H2425" s="1" t="s">
        <v>15</v>
      </c>
      <c r="I2425" s="3" t="str">
        <f>"1"</f>
        <v>1</v>
      </c>
      <c r="J2425" s="3" t="str">
        <f>"116776"</f>
        <v>116776</v>
      </c>
      <c r="K2425" s="2">
        <v>45818</v>
      </c>
      <c r="L2425" s="2">
        <v>45849</v>
      </c>
      <c r="M2425" s="1" t="s">
        <v>4818</v>
      </c>
      <c r="N2425" s="1" t="s">
        <v>4817</v>
      </c>
    </row>
    <row r="2426" spans="1:14" x14ac:dyDescent="0.35">
      <c r="A2426" s="1" t="s">
        <v>4321</v>
      </c>
      <c r="B2426" s="3" t="s">
        <v>2248</v>
      </c>
      <c r="C2426" s="1" t="s">
        <v>2427</v>
      </c>
      <c r="D2426" s="1" t="s">
        <v>4816</v>
      </c>
      <c r="E2426" s="1" t="str">
        <f>"4140"</f>
        <v>4140</v>
      </c>
      <c r="F2426" s="1" t="s">
        <v>590</v>
      </c>
      <c r="G2426" s="1" t="s">
        <v>591</v>
      </c>
      <c r="H2426" s="1" t="s">
        <v>15</v>
      </c>
      <c r="I2426" s="3" t="str">
        <f>"10"</f>
        <v>10</v>
      </c>
      <c r="J2426" s="3">
        <v>25.99</v>
      </c>
      <c r="K2426" s="2">
        <v>45813</v>
      </c>
      <c r="L2426" s="2">
        <v>45849</v>
      </c>
      <c r="M2426" s="1" t="s">
        <v>4815</v>
      </c>
      <c r="N2426" s="1" t="s">
        <v>4814</v>
      </c>
    </row>
    <row r="2427" spans="1:14" x14ac:dyDescent="0.35">
      <c r="A2427" s="1" t="s">
        <v>4321</v>
      </c>
      <c r="B2427" s="3" t="s">
        <v>2145</v>
      </c>
      <c r="C2427" s="1" t="s">
        <v>2153</v>
      </c>
      <c r="D2427" s="1" t="s">
        <v>4813</v>
      </c>
      <c r="E2427" s="1" t="str">
        <f>"2330"</f>
        <v>2330</v>
      </c>
      <c r="F2427" s="1" t="str">
        <f>"015183809"</f>
        <v>015183809</v>
      </c>
      <c r="G2427" s="1" t="s">
        <v>617</v>
      </c>
      <c r="H2427" s="1" t="s">
        <v>15</v>
      </c>
      <c r="I2427" s="3" t="str">
        <f>"1"</f>
        <v>1</v>
      </c>
      <c r="J2427" s="3" t="str">
        <f>"20000"</f>
        <v>20000</v>
      </c>
      <c r="K2427" s="2">
        <v>45809</v>
      </c>
      <c r="L2427" s="2">
        <v>45849</v>
      </c>
      <c r="M2427" s="1" t="s">
        <v>4812</v>
      </c>
      <c r="N2427" s="1" t="s">
        <v>4811</v>
      </c>
    </row>
    <row r="2428" spans="1:14" x14ac:dyDescent="0.35">
      <c r="A2428" s="1" t="s">
        <v>4321</v>
      </c>
      <c r="B2428" s="3" t="s">
        <v>3183</v>
      </c>
      <c r="C2428" s="1" t="s">
        <v>3184</v>
      </c>
      <c r="D2428" s="1" t="s">
        <v>4810</v>
      </c>
      <c r="E2428" s="1" t="str">
        <f>"2340"</f>
        <v>2340</v>
      </c>
      <c r="F2428" s="1" t="s">
        <v>694</v>
      </c>
      <c r="G2428" s="1" t="s">
        <v>695</v>
      </c>
      <c r="H2428" s="1" t="s">
        <v>15</v>
      </c>
      <c r="I2428" s="3" t="str">
        <f>"1"</f>
        <v>1</v>
      </c>
      <c r="J2428" s="3" t="str">
        <f>"13632"</f>
        <v>13632</v>
      </c>
      <c r="K2428" s="2">
        <v>45808</v>
      </c>
      <c r="L2428" s="2">
        <v>45849</v>
      </c>
      <c r="M2428" s="1" t="s">
        <v>4809</v>
      </c>
      <c r="N2428" s="1" t="s">
        <v>4808</v>
      </c>
    </row>
    <row r="2429" spans="1:14" x14ac:dyDescent="0.35">
      <c r="A2429" s="1" t="s">
        <v>4321</v>
      </c>
      <c r="B2429" s="3" t="s">
        <v>2248</v>
      </c>
      <c r="C2429" s="1" t="s">
        <v>2427</v>
      </c>
      <c r="D2429" s="1" t="s">
        <v>4807</v>
      </c>
      <c r="E2429" s="1" t="str">
        <f>"6515"</f>
        <v>6515</v>
      </c>
      <c r="F2429" s="1" t="s">
        <v>4800</v>
      </c>
      <c r="G2429" s="1" t="s">
        <v>1214</v>
      </c>
      <c r="H2429" s="1" t="s">
        <v>15</v>
      </c>
      <c r="I2429" s="3" t="str">
        <f>"9"</f>
        <v>9</v>
      </c>
      <c r="J2429" s="3" t="str">
        <f>"250"</f>
        <v>250</v>
      </c>
      <c r="K2429" s="2">
        <v>45807</v>
      </c>
      <c r="L2429" s="2">
        <v>45849</v>
      </c>
      <c r="M2429" s="1" t="s">
        <v>4806</v>
      </c>
      <c r="N2429" s="1" t="s">
        <v>4805</v>
      </c>
    </row>
    <row r="2430" spans="1:14" x14ac:dyDescent="0.35">
      <c r="A2430" s="1" t="s">
        <v>4321</v>
      </c>
      <c r="B2430" s="3" t="s">
        <v>2248</v>
      </c>
      <c r="C2430" s="1" t="s">
        <v>2427</v>
      </c>
      <c r="D2430" s="1" t="s">
        <v>4804</v>
      </c>
      <c r="E2430" s="1" t="str">
        <f>"4030"</f>
        <v>4030</v>
      </c>
      <c r="F2430" s="1" t="str">
        <f>"013161552"</f>
        <v>013161552</v>
      </c>
      <c r="G2430" s="1" t="s">
        <v>3389</v>
      </c>
      <c r="H2430" s="1" t="s">
        <v>15</v>
      </c>
      <c r="I2430" s="3" t="str">
        <f>"7"</f>
        <v>7</v>
      </c>
      <c r="J2430" s="3">
        <v>75.849999999999994</v>
      </c>
      <c r="K2430" s="2">
        <v>45807</v>
      </c>
      <c r="L2430" s="2">
        <v>45849</v>
      </c>
      <c r="M2430" s="1" t="s">
        <v>4803</v>
      </c>
      <c r="N2430" s="1" t="s">
        <v>4802</v>
      </c>
    </row>
    <row r="2431" spans="1:14" x14ac:dyDescent="0.35">
      <c r="A2431" s="1" t="s">
        <v>4321</v>
      </c>
      <c r="B2431" s="3" t="s">
        <v>2248</v>
      </c>
      <c r="C2431" s="1" t="s">
        <v>2427</v>
      </c>
      <c r="D2431" s="1" t="s">
        <v>4801</v>
      </c>
      <c r="E2431" s="1" t="str">
        <f>"6515"</f>
        <v>6515</v>
      </c>
      <c r="F2431" s="1" t="s">
        <v>4800</v>
      </c>
      <c r="G2431" s="1" t="s">
        <v>1214</v>
      </c>
      <c r="H2431" s="1" t="s">
        <v>15</v>
      </c>
      <c r="I2431" s="3" t="str">
        <f>"81"</f>
        <v>81</v>
      </c>
      <c r="J2431" s="3" t="str">
        <f>"250"</f>
        <v>250</v>
      </c>
      <c r="K2431" s="2">
        <v>45807</v>
      </c>
      <c r="L2431" s="2">
        <v>45849</v>
      </c>
      <c r="M2431" s="1" t="s">
        <v>4799</v>
      </c>
      <c r="N2431" s="1" t="s">
        <v>4798</v>
      </c>
    </row>
    <row r="2432" spans="1:14" x14ac:dyDescent="0.35">
      <c r="A2432" s="1" t="s">
        <v>4321</v>
      </c>
      <c r="B2432" s="3" t="s">
        <v>2248</v>
      </c>
      <c r="C2432" s="1" t="s">
        <v>2427</v>
      </c>
      <c r="D2432" s="1" t="s">
        <v>4797</v>
      </c>
      <c r="E2432" s="1" t="str">
        <f>"5180"</f>
        <v>5180</v>
      </c>
      <c r="F2432" s="1" t="str">
        <f>"000645178"</f>
        <v>000645178</v>
      </c>
      <c r="G2432" s="1" t="s">
        <v>4796</v>
      </c>
      <c r="H2432" s="1" t="s">
        <v>15</v>
      </c>
      <c r="I2432" s="3" t="str">
        <f>"1"</f>
        <v>1</v>
      </c>
      <c r="J2432" s="3">
        <v>581.99</v>
      </c>
      <c r="K2432" s="2">
        <v>45807</v>
      </c>
      <c r="L2432" s="2">
        <v>45849</v>
      </c>
      <c r="M2432" s="1" t="s">
        <v>4795</v>
      </c>
      <c r="N2432" s="1" t="s">
        <v>4794</v>
      </c>
    </row>
    <row r="2433" spans="1:14" x14ac:dyDescent="0.35">
      <c r="A2433" s="1" t="s">
        <v>4321</v>
      </c>
      <c r="B2433" s="3" t="s">
        <v>1699</v>
      </c>
      <c r="C2433" s="1" t="s">
        <v>4793</v>
      </c>
      <c r="D2433" s="1" t="s">
        <v>4792</v>
      </c>
      <c r="E2433" s="1" t="str">
        <f>"7830"</f>
        <v>7830</v>
      </c>
      <c r="F2433" s="1" t="s">
        <v>189</v>
      </c>
      <c r="G2433" s="1" t="s">
        <v>190</v>
      </c>
      <c r="H2433" s="1" t="s">
        <v>15</v>
      </c>
      <c r="I2433" s="3" t="str">
        <f>"1"</f>
        <v>1</v>
      </c>
      <c r="J2433" s="3" t="str">
        <f>"200"</f>
        <v>200</v>
      </c>
      <c r="K2433" s="2">
        <v>45784</v>
      </c>
      <c r="L2433" s="2">
        <v>45849</v>
      </c>
      <c r="M2433" s="1" t="s">
        <v>4791</v>
      </c>
      <c r="N2433" s="1" t="s">
        <v>4790</v>
      </c>
    </row>
    <row r="2434" spans="1:14" x14ac:dyDescent="0.35">
      <c r="A2434" s="1" t="s">
        <v>4321</v>
      </c>
      <c r="B2434" s="3" t="s">
        <v>11</v>
      </c>
      <c r="C2434" s="1" t="s">
        <v>65</v>
      </c>
      <c r="D2434" s="1" t="s">
        <v>4789</v>
      </c>
      <c r="E2434" s="1" t="str">
        <f>"5180"</f>
        <v>5180</v>
      </c>
      <c r="F2434" s="1" t="str">
        <f>"014993546"</f>
        <v>014993546</v>
      </c>
      <c r="G2434" s="1" t="s">
        <v>85</v>
      </c>
      <c r="H2434" s="1" t="s">
        <v>19</v>
      </c>
      <c r="I2434" s="3" t="str">
        <f>"1"</f>
        <v>1</v>
      </c>
      <c r="J2434" s="3" t="str">
        <f>"4949"</f>
        <v>4949</v>
      </c>
      <c r="K2434" s="2">
        <v>45779</v>
      </c>
      <c r="L2434" s="2">
        <v>45849</v>
      </c>
      <c r="M2434" s="1" t="s">
        <v>4788</v>
      </c>
      <c r="N2434" s="1" t="s">
        <v>4787</v>
      </c>
    </row>
    <row r="2435" spans="1:14" x14ac:dyDescent="0.35">
      <c r="A2435" s="1" t="s">
        <v>4321</v>
      </c>
      <c r="B2435" s="3" t="s">
        <v>1445</v>
      </c>
      <c r="C2435" s="1" t="s">
        <v>1459</v>
      </c>
      <c r="D2435" s="1" t="s">
        <v>4786</v>
      </c>
      <c r="E2435" s="1" t="str">
        <f>"7240"</f>
        <v>7240</v>
      </c>
      <c r="F2435" s="1" t="str">
        <f>"000893827"</f>
        <v>000893827</v>
      </c>
      <c r="G2435" s="1" t="s">
        <v>1592</v>
      </c>
      <c r="H2435" s="1" t="s">
        <v>15</v>
      </c>
      <c r="I2435" s="3" t="str">
        <f>"3"</f>
        <v>3</v>
      </c>
      <c r="J2435" s="3">
        <v>44.15</v>
      </c>
      <c r="K2435" s="2">
        <v>45847</v>
      </c>
      <c r="L2435" s="2">
        <v>45848</v>
      </c>
      <c r="M2435" s="1" t="s">
        <v>4785</v>
      </c>
      <c r="N2435" s="1" t="s">
        <v>4343</v>
      </c>
    </row>
    <row r="2436" spans="1:14" x14ac:dyDescent="0.35">
      <c r="A2436" s="1" t="s">
        <v>4321</v>
      </c>
      <c r="B2436" s="3" t="s">
        <v>93</v>
      </c>
      <c r="C2436" s="1" t="s">
        <v>312</v>
      </c>
      <c r="D2436" s="1" t="s">
        <v>4784</v>
      </c>
      <c r="E2436" s="1" t="str">
        <f>"8150"</f>
        <v>8150</v>
      </c>
      <c r="F2436" s="1" t="str">
        <f>"014638553"</f>
        <v>014638553</v>
      </c>
      <c r="G2436" s="1" t="s">
        <v>448</v>
      </c>
      <c r="H2436" s="1" t="s">
        <v>15</v>
      </c>
      <c r="I2436" s="3" t="str">
        <f>"1"</f>
        <v>1</v>
      </c>
      <c r="J2436" s="3">
        <v>7662.92</v>
      </c>
      <c r="K2436" s="2">
        <v>45847</v>
      </c>
      <c r="L2436" s="2">
        <v>45848</v>
      </c>
      <c r="M2436" s="1" t="s">
        <v>4783</v>
      </c>
      <c r="N2436" s="1" t="s">
        <v>4343</v>
      </c>
    </row>
    <row r="2437" spans="1:14" x14ac:dyDescent="0.35">
      <c r="A2437" s="1" t="s">
        <v>4321</v>
      </c>
      <c r="B2437" s="3" t="s">
        <v>2114</v>
      </c>
      <c r="C2437" s="1" t="s">
        <v>4603</v>
      </c>
      <c r="D2437" s="1" t="s">
        <v>4782</v>
      </c>
      <c r="E2437" s="1" t="str">
        <f>"1005"</f>
        <v>1005</v>
      </c>
      <c r="F2437" s="1" t="str">
        <f>"016309508"</f>
        <v>016309508</v>
      </c>
      <c r="G2437" s="1" t="s">
        <v>4601</v>
      </c>
      <c r="H2437" s="1" t="s">
        <v>15</v>
      </c>
      <c r="I2437" s="3" t="str">
        <f>"30"</f>
        <v>30</v>
      </c>
      <c r="J2437" s="3">
        <v>14.91</v>
      </c>
      <c r="K2437" s="2">
        <v>45847</v>
      </c>
      <c r="L2437" s="2">
        <v>45848</v>
      </c>
      <c r="M2437" s="1" t="s">
        <v>4781</v>
      </c>
      <c r="N2437" s="1" t="s">
        <v>4343</v>
      </c>
    </row>
    <row r="2438" spans="1:14" x14ac:dyDescent="0.35">
      <c r="A2438" s="1" t="s">
        <v>4321</v>
      </c>
      <c r="B2438" s="3" t="s">
        <v>2248</v>
      </c>
      <c r="C2438" s="1" t="s">
        <v>2278</v>
      </c>
      <c r="D2438" s="1" t="s">
        <v>4780</v>
      </c>
      <c r="E2438" s="1" t="str">
        <f>"8150"</f>
        <v>8150</v>
      </c>
      <c r="F2438" s="1" t="str">
        <f>"014638553"</f>
        <v>014638553</v>
      </c>
      <c r="G2438" s="1" t="s">
        <v>448</v>
      </c>
      <c r="H2438" s="1" t="s">
        <v>15</v>
      </c>
      <c r="I2438" s="3" t="str">
        <f>"2"</f>
        <v>2</v>
      </c>
      <c r="J2438" s="3">
        <v>7662.92</v>
      </c>
      <c r="K2438" s="2">
        <v>45846</v>
      </c>
      <c r="L2438" s="2">
        <v>45848</v>
      </c>
      <c r="M2438" s="1" t="s">
        <v>2305</v>
      </c>
      <c r="N2438" s="1" t="s">
        <v>4779</v>
      </c>
    </row>
    <row r="2439" spans="1:14" x14ac:dyDescent="0.35">
      <c r="A2439" s="1" t="s">
        <v>4321</v>
      </c>
      <c r="B2439" s="3" t="s">
        <v>1445</v>
      </c>
      <c r="C2439" s="1" t="s">
        <v>1629</v>
      </c>
      <c r="D2439" s="1" t="s">
        <v>4778</v>
      </c>
      <c r="E2439" s="1" t="str">
        <f>"2320"</f>
        <v>2320</v>
      </c>
      <c r="F2439" s="1" t="str">
        <f>"014476343"</f>
        <v>014476343</v>
      </c>
      <c r="G2439" s="1" t="s">
        <v>373</v>
      </c>
      <c r="H2439" s="1" t="s">
        <v>15</v>
      </c>
      <c r="I2439" s="3" t="str">
        <f>"1"</f>
        <v>1</v>
      </c>
      <c r="J2439" s="3" t="str">
        <f>"176428"</f>
        <v>176428</v>
      </c>
      <c r="K2439" s="2">
        <v>45845</v>
      </c>
      <c r="L2439" s="2">
        <v>45848</v>
      </c>
      <c r="M2439" s="1" t="s">
        <v>4771</v>
      </c>
      <c r="N2439" s="1" t="s">
        <v>4777</v>
      </c>
    </row>
    <row r="2440" spans="1:14" x14ac:dyDescent="0.35">
      <c r="A2440" s="1" t="s">
        <v>4321</v>
      </c>
      <c r="B2440" s="3" t="s">
        <v>1445</v>
      </c>
      <c r="C2440" s="1" t="s">
        <v>1629</v>
      </c>
      <c r="D2440" s="1" t="s">
        <v>4776</v>
      </c>
      <c r="E2440" s="1" t="str">
        <f>"2320"</f>
        <v>2320</v>
      </c>
      <c r="F2440" s="1" t="str">
        <f>"014476343"</f>
        <v>014476343</v>
      </c>
      <c r="G2440" s="1" t="s">
        <v>373</v>
      </c>
      <c r="H2440" s="1" t="s">
        <v>15</v>
      </c>
      <c r="I2440" s="3" t="str">
        <f>"1"</f>
        <v>1</v>
      </c>
      <c r="J2440" s="3" t="str">
        <f>"176428"</f>
        <v>176428</v>
      </c>
      <c r="K2440" s="2">
        <v>45845</v>
      </c>
      <c r="L2440" s="2">
        <v>45848</v>
      </c>
      <c r="M2440" s="1" t="s">
        <v>4771</v>
      </c>
      <c r="N2440" s="1" t="s">
        <v>4775</v>
      </c>
    </row>
    <row r="2441" spans="1:14" x14ac:dyDescent="0.35">
      <c r="A2441" s="1" t="s">
        <v>4321</v>
      </c>
      <c r="B2441" s="3" t="s">
        <v>1445</v>
      </c>
      <c r="C2441" s="1" t="s">
        <v>1629</v>
      </c>
      <c r="D2441" s="1" t="s">
        <v>4774</v>
      </c>
      <c r="E2441" s="1" t="str">
        <f>"2320"</f>
        <v>2320</v>
      </c>
      <c r="F2441" s="1" t="str">
        <f>"014476343"</f>
        <v>014476343</v>
      </c>
      <c r="G2441" s="1" t="s">
        <v>373</v>
      </c>
      <c r="H2441" s="1" t="s">
        <v>15</v>
      </c>
      <c r="I2441" s="3" t="str">
        <f>"1"</f>
        <v>1</v>
      </c>
      <c r="J2441" s="3" t="str">
        <f>"176428"</f>
        <v>176428</v>
      </c>
      <c r="K2441" s="2">
        <v>45845</v>
      </c>
      <c r="L2441" s="2">
        <v>45848</v>
      </c>
      <c r="M2441" s="1" t="s">
        <v>4771</v>
      </c>
      <c r="N2441" s="1" t="s">
        <v>4773</v>
      </c>
    </row>
    <row r="2442" spans="1:14" x14ac:dyDescent="0.35">
      <c r="A2442" s="1" t="s">
        <v>4321</v>
      </c>
      <c r="B2442" s="3" t="s">
        <v>1445</v>
      </c>
      <c r="C2442" s="1" t="s">
        <v>1629</v>
      </c>
      <c r="D2442" s="1" t="s">
        <v>4772</v>
      </c>
      <c r="E2442" s="1" t="str">
        <f>"2320"</f>
        <v>2320</v>
      </c>
      <c r="F2442" s="1" t="str">
        <f>"014476343"</f>
        <v>014476343</v>
      </c>
      <c r="G2442" s="1" t="s">
        <v>373</v>
      </c>
      <c r="H2442" s="1" t="s">
        <v>15</v>
      </c>
      <c r="I2442" s="3" t="str">
        <f>"1"</f>
        <v>1</v>
      </c>
      <c r="J2442" s="3" t="str">
        <f>"176428"</f>
        <v>176428</v>
      </c>
      <c r="K2442" s="2">
        <v>45845</v>
      </c>
      <c r="L2442" s="2">
        <v>45848</v>
      </c>
      <c r="M2442" s="1" t="s">
        <v>4771</v>
      </c>
      <c r="N2442" s="1" t="s">
        <v>4770</v>
      </c>
    </row>
    <row r="2443" spans="1:14" x14ac:dyDescent="0.35">
      <c r="A2443" s="1" t="s">
        <v>4321</v>
      </c>
      <c r="B2443" s="3" t="s">
        <v>2248</v>
      </c>
      <c r="C2443" s="1" t="s">
        <v>2265</v>
      </c>
      <c r="D2443" s="1" t="s">
        <v>4769</v>
      </c>
      <c r="E2443" s="1" t="str">
        <f>"5855"</f>
        <v>5855</v>
      </c>
      <c r="F2443" s="1" t="str">
        <f>"015937303"</f>
        <v>015937303</v>
      </c>
      <c r="G2443" s="1" t="s">
        <v>1904</v>
      </c>
      <c r="H2443" s="1" t="s">
        <v>15</v>
      </c>
      <c r="I2443" s="3" t="str">
        <f>"1"</f>
        <v>1</v>
      </c>
      <c r="J2443" s="3">
        <v>400.73</v>
      </c>
      <c r="K2443" s="2">
        <v>45844</v>
      </c>
      <c r="L2443" s="2">
        <v>45848</v>
      </c>
      <c r="M2443" s="1" t="s">
        <v>4768</v>
      </c>
      <c r="N2443" s="1" t="s">
        <v>4767</v>
      </c>
    </row>
    <row r="2444" spans="1:14" x14ac:dyDescent="0.35">
      <c r="A2444" s="1" t="s">
        <v>4321</v>
      </c>
      <c r="B2444" s="3" t="s">
        <v>4253</v>
      </c>
      <c r="C2444" s="1" t="s">
        <v>4254</v>
      </c>
      <c r="D2444" s="1" t="s">
        <v>4766</v>
      </c>
      <c r="E2444" s="1" t="str">
        <f>"7025"</f>
        <v>7025</v>
      </c>
      <c r="F2444" s="1" t="s">
        <v>3286</v>
      </c>
      <c r="G2444" s="1" t="s">
        <v>3287</v>
      </c>
      <c r="H2444" s="1" t="s">
        <v>15</v>
      </c>
      <c r="I2444" s="3" t="str">
        <f>"4"</f>
        <v>4</v>
      </c>
      <c r="J2444" s="3" t="str">
        <f>"115"</f>
        <v>115</v>
      </c>
      <c r="K2444" s="2">
        <v>45843</v>
      </c>
      <c r="L2444" s="2">
        <v>45848</v>
      </c>
      <c r="M2444" s="1" t="s">
        <v>4765</v>
      </c>
      <c r="N2444" s="1" t="s">
        <v>4764</v>
      </c>
    </row>
    <row r="2445" spans="1:14" x14ac:dyDescent="0.35">
      <c r="A2445" s="1" t="s">
        <v>4321</v>
      </c>
      <c r="B2445" s="3" t="s">
        <v>2145</v>
      </c>
      <c r="C2445" s="1" t="s">
        <v>2153</v>
      </c>
      <c r="D2445" s="1" t="s">
        <v>4763</v>
      </c>
      <c r="E2445" s="1" t="str">
        <f>"7210"</f>
        <v>7210</v>
      </c>
      <c r="F2445" s="1" t="str">
        <f>"009356666"</f>
        <v>009356666</v>
      </c>
      <c r="G2445" s="1" t="s">
        <v>1443</v>
      </c>
      <c r="H2445" s="1" t="s">
        <v>15</v>
      </c>
      <c r="I2445" s="3" t="str">
        <f>"56"</f>
        <v>56</v>
      </c>
      <c r="J2445" s="3">
        <v>6.5</v>
      </c>
      <c r="K2445" s="2">
        <v>45843</v>
      </c>
      <c r="L2445" s="2">
        <v>45848</v>
      </c>
      <c r="M2445" s="1" t="s">
        <v>4762</v>
      </c>
      <c r="N2445" s="1" t="s">
        <v>4761</v>
      </c>
    </row>
    <row r="2446" spans="1:14" x14ac:dyDescent="0.35">
      <c r="A2446" s="1" t="s">
        <v>4321</v>
      </c>
      <c r="B2446" s="3" t="s">
        <v>2248</v>
      </c>
      <c r="C2446" s="1" t="s">
        <v>2427</v>
      </c>
      <c r="D2446" s="1" t="s">
        <v>4760</v>
      </c>
      <c r="E2446" s="1" t="str">
        <f>"8465"</f>
        <v>8465</v>
      </c>
      <c r="F2446" s="1" t="str">
        <f>"015802768"</f>
        <v>015802768</v>
      </c>
      <c r="G2446" s="1" t="s">
        <v>4759</v>
      </c>
      <c r="H2446" s="1" t="s">
        <v>15</v>
      </c>
      <c r="I2446" s="3" t="str">
        <f>"3"</f>
        <v>3</v>
      </c>
      <c r="J2446" s="3">
        <v>5.96</v>
      </c>
      <c r="K2446" s="2">
        <v>45825</v>
      </c>
      <c r="L2446" s="2">
        <v>45848</v>
      </c>
      <c r="M2446" s="1" t="s">
        <v>4753</v>
      </c>
      <c r="N2446" s="1" t="s">
        <v>4758</v>
      </c>
    </row>
    <row r="2447" spans="1:14" x14ac:dyDescent="0.35">
      <c r="A2447" s="1" t="s">
        <v>4321</v>
      </c>
      <c r="B2447" s="3" t="s">
        <v>2248</v>
      </c>
      <c r="C2447" s="1" t="s">
        <v>2427</v>
      </c>
      <c r="D2447" s="1" t="s">
        <v>4757</v>
      </c>
      <c r="E2447" s="1" t="str">
        <f>"8465"</f>
        <v>8465</v>
      </c>
      <c r="F2447" s="1" t="str">
        <f>"015802763"</f>
        <v>015802763</v>
      </c>
      <c r="G2447" s="1" t="s">
        <v>4754</v>
      </c>
      <c r="H2447" s="1" t="s">
        <v>15</v>
      </c>
      <c r="I2447" s="3" t="str">
        <f>"16"</f>
        <v>16</v>
      </c>
      <c r="J2447" s="3">
        <v>5.96</v>
      </c>
      <c r="K2447" s="2">
        <v>45825</v>
      </c>
      <c r="L2447" s="2">
        <v>45848</v>
      </c>
      <c r="M2447" s="1" t="s">
        <v>4753</v>
      </c>
      <c r="N2447" s="1" t="s">
        <v>4756</v>
      </c>
    </row>
    <row r="2448" spans="1:14" x14ac:dyDescent="0.35">
      <c r="A2448" s="1" t="s">
        <v>4321</v>
      </c>
      <c r="B2448" s="3" t="s">
        <v>2248</v>
      </c>
      <c r="C2448" s="1" t="s">
        <v>2427</v>
      </c>
      <c r="D2448" s="1" t="s">
        <v>4755</v>
      </c>
      <c r="E2448" s="1" t="str">
        <f>"8465"</f>
        <v>8465</v>
      </c>
      <c r="F2448" s="1" t="str">
        <f>"015802756"</f>
        <v>015802756</v>
      </c>
      <c r="G2448" s="1" t="s">
        <v>4754</v>
      </c>
      <c r="H2448" s="1" t="s">
        <v>15</v>
      </c>
      <c r="I2448" s="3" t="str">
        <f>"29"</f>
        <v>29</v>
      </c>
      <c r="J2448" s="3">
        <v>3.55</v>
      </c>
      <c r="K2448" s="2">
        <v>45825</v>
      </c>
      <c r="L2448" s="2">
        <v>45848</v>
      </c>
      <c r="M2448" s="1" t="s">
        <v>4753</v>
      </c>
      <c r="N2448" s="1" t="s">
        <v>4752</v>
      </c>
    </row>
    <row r="2449" spans="1:14" x14ac:dyDescent="0.35">
      <c r="A2449" s="1" t="s">
        <v>4321</v>
      </c>
      <c r="B2449" s="3" t="s">
        <v>2248</v>
      </c>
      <c r="C2449" s="1" t="s">
        <v>2427</v>
      </c>
      <c r="D2449" s="1" t="s">
        <v>4751</v>
      </c>
      <c r="E2449" s="1" t="str">
        <f>"8465"</f>
        <v>8465</v>
      </c>
      <c r="F2449" s="1" t="str">
        <f>"014652056"</f>
        <v>014652056</v>
      </c>
      <c r="G2449" s="1" t="s">
        <v>4750</v>
      </c>
      <c r="H2449" s="1" t="s">
        <v>15</v>
      </c>
      <c r="I2449" s="3" t="str">
        <f>"3"</f>
        <v>3</v>
      </c>
      <c r="J2449" s="3">
        <v>38.57</v>
      </c>
      <c r="K2449" s="2">
        <v>45825</v>
      </c>
      <c r="L2449" s="2">
        <v>45848</v>
      </c>
      <c r="M2449" s="1" t="s">
        <v>4749</v>
      </c>
      <c r="N2449" s="1" t="s">
        <v>4748</v>
      </c>
    </row>
    <row r="2450" spans="1:14" x14ac:dyDescent="0.35">
      <c r="A2450" s="1" t="s">
        <v>4321</v>
      </c>
      <c r="B2450" s="3" t="s">
        <v>3513</v>
      </c>
      <c r="C2450" s="1" t="s">
        <v>3874</v>
      </c>
      <c r="D2450" s="1" t="s">
        <v>4747</v>
      </c>
      <c r="E2450" s="1" t="str">
        <f>"6115"</f>
        <v>6115</v>
      </c>
      <c r="F2450" s="1" t="s">
        <v>174</v>
      </c>
      <c r="G2450" s="1" t="s">
        <v>175</v>
      </c>
      <c r="H2450" s="1" t="s">
        <v>15</v>
      </c>
      <c r="I2450" s="3" t="str">
        <f>"1"</f>
        <v>1</v>
      </c>
      <c r="J2450" s="3" t="str">
        <f>"65000"</f>
        <v>65000</v>
      </c>
      <c r="K2450" s="2">
        <v>45822</v>
      </c>
      <c r="L2450" s="2">
        <v>45848</v>
      </c>
      <c r="M2450" s="1" t="s">
        <v>4746</v>
      </c>
      <c r="N2450" s="1" t="s">
        <v>4745</v>
      </c>
    </row>
    <row r="2451" spans="1:14" x14ac:dyDescent="0.35">
      <c r="A2451" s="1" t="s">
        <v>4321</v>
      </c>
      <c r="B2451" s="3" t="s">
        <v>11</v>
      </c>
      <c r="C2451" s="1" t="s">
        <v>65</v>
      </c>
      <c r="D2451" s="1" t="s">
        <v>4744</v>
      </c>
      <c r="E2451" s="1" t="str">
        <f>"7830"</f>
        <v>7830</v>
      </c>
      <c r="F2451" s="1" t="s">
        <v>89</v>
      </c>
      <c r="G2451" s="1" t="s">
        <v>90</v>
      </c>
      <c r="H2451" s="1" t="s">
        <v>15</v>
      </c>
      <c r="I2451" s="3" t="str">
        <f>"1"</f>
        <v>1</v>
      </c>
      <c r="J2451" s="3" t="str">
        <f>"1000"</f>
        <v>1000</v>
      </c>
      <c r="K2451" s="2">
        <v>45821</v>
      </c>
      <c r="L2451" s="2">
        <v>45848</v>
      </c>
      <c r="M2451" s="1" t="s">
        <v>91</v>
      </c>
      <c r="N2451" s="1" t="s">
        <v>4743</v>
      </c>
    </row>
    <row r="2452" spans="1:14" x14ac:dyDescent="0.35">
      <c r="A2452" s="1" t="s">
        <v>4321</v>
      </c>
      <c r="B2452" s="3" t="s">
        <v>2248</v>
      </c>
      <c r="C2452" s="1" t="s">
        <v>2265</v>
      </c>
      <c r="D2452" s="1" t="s">
        <v>4742</v>
      </c>
      <c r="E2452" s="1" t="str">
        <f>"5820"</f>
        <v>5820</v>
      </c>
      <c r="F2452" s="1" t="str">
        <f>"012148802"</f>
        <v>012148802</v>
      </c>
      <c r="G2452" s="1" t="s">
        <v>4738</v>
      </c>
      <c r="H2452" s="1" t="s">
        <v>15</v>
      </c>
      <c r="I2452" s="3" t="str">
        <f>"1"</f>
        <v>1</v>
      </c>
      <c r="J2452" s="3" t="str">
        <f>"3420"</f>
        <v>3420</v>
      </c>
      <c r="K2452" s="2">
        <v>45819</v>
      </c>
      <c r="L2452" s="2">
        <v>45848</v>
      </c>
      <c r="M2452" s="1" t="s">
        <v>4741</v>
      </c>
      <c r="N2452" s="1" t="s">
        <v>4740</v>
      </c>
    </row>
    <row r="2453" spans="1:14" x14ac:dyDescent="0.35">
      <c r="A2453" s="1" t="s">
        <v>4321</v>
      </c>
      <c r="B2453" s="3" t="s">
        <v>2248</v>
      </c>
      <c r="C2453" s="1" t="s">
        <v>2265</v>
      </c>
      <c r="D2453" s="1" t="s">
        <v>4739</v>
      </c>
      <c r="E2453" s="1" t="str">
        <f>"5820"</f>
        <v>5820</v>
      </c>
      <c r="F2453" s="1" t="str">
        <f>"012148802"</f>
        <v>012148802</v>
      </c>
      <c r="G2453" s="1" t="s">
        <v>4738</v>
      </c>
      <c r="H2453" s="1" t="s">
        <v>15</v>
      </c>
      <c r="I2453" s="3" t="str">
        <f>"18"</f>
        <v>18</v>
      </c>
      <c r="J2453" s="3" t="str">
        <f>"3420"</f>
        <v>3420</v>
      </c>
      <c r="K2453" s="2">
        <v>45819</v>
      </c>
      <c r="L2453" s="2">
        <v>45848</v>
      </c>
      <c r="M2453" s="1" t="s">
        <v>4737</v>
      </c>
      <c r="N2453" s="1" t="s">
        <v>4736</v>
      </c>
    </row>
    <row r="2454" spans="1:14" x14ac:dyDescent="0.35">
      <c r="A2454" s="1" t="s">
        <v>4321</v>
      </c>
      <c r="B2454" s="3" t="s">
        <v>2248</v>
      </c>
      <c r="C2454" s="1" t="s">
        <v>2427</v>
      </c>
      <c r="D2454" s="1" t="s">
        <v>4735</v>
      </c>
      <c r="E2454" s="1" t="str">
        <f>"8465"</f>
        <v>8465</v>
      </c>
      <c r="F2454" s="1" t="str">
        <f>"015247635"</f>
        <v>015247635</v>
      </c>
      <c r="G2454" s="1" t="s">
        <v>1618</v>
      </c>
      <c r="H2454" s="1" t="s">
        <v>15</v>
      </c>
      <c r="I2454" s="3" t="str">
        <f>"8"</f>
        <v>8</v>
      </c>
      <c r="J2454" s="3">
        <v>125.86</v>
      </c>
      <c r="K2454" s="2">
        <v>45818</v>
      </c>
      <c r="L2454" s="2">
        <v>45848</v>
      </c>
      <c r="M2454" s="1" t="s">
        <v>4731</v>
      </c>
      <c r="N2454" s="1" t="s">
        <v>4734</v>
      </c>
    </row>
    <row r="2455" spans="1:14" x14ac:dyDescent="0.35">
      <c r="A2455" s="1" t="s">
        <v>4321</v>
      </c>
      <c r="B2455" s="3" t="s">
        <v>2248</v>
      </c>
      <c r="C2455" s="1" t="s">
        <v>2427</v>
      </c>
      <c r="D2455" s="1" t="s">
        <v>4733</v>
      </c>
      <c r="E2455" s="1" t="str">
        <f>"8465"</f>
        <v>8465</v>
      </c>
      <c r="F2455" s="1" t="str">
        <f>"015247632"</f>
        <v>015247632</v>
      </c>
      <c r="G2455" s="1" t="s">
        <v>4732</v>
      </c>
      <c r="H2455" s="1" t="s">
        <v>15</v>
      </c>
      <c r="I2455" s="3" t="str">
        <f>"3"</f>
        <v>3</v>
      </c>
      <c r="J2455" s="3">
        <v>174.77</v>
      </c>
      <c r="K2455" s="2">
        <v>45818</v>
      </c>
      <c r="L2455" s="2">
        <v>45848</v>
      </c>
      <c r="M2455" s="1" t="s">
        <v>4731</v>
      </c>
      <c r="N2455" s="1" t="s">
        <v>4730</v>
      </c>
    </row>
    <row r="2456" spans="1:14" x14ac:dyDescent="0.35">
      <c r="A2456" s="1" t="s">
        <v>4321</v>
      </c>
      <c r="B2456" s="3" t="s">
        <v>1857</v>
      </c>
      <c r="C2456" s="1" t="s">
        <v>1869</v>
      </c>
      <c r="D2456" s="1" t="s">
        <v>4729</v>
      </c>
      <c r="E2456" s="1" t="str">
        <f>"2330"</f>
        <v>2330</v>
      </c>
      <c r="F2456" s="1" t="s">
        <v>70</v>
      </c>
      <c r="G2456" s="1" t="s">
        <v>71</v>
      </c>
      <c r="H2456" s="1" t="s">
        <v>15</v>
      </c>
      <c r="I2456" s="3" t="str">
        <f>"1"</f>
        <v>1</v>
      </c>
      <c r="J2456" s="3" t="str">
        <f>"25000"</f>
        <v>25000</v>
      </c>
      <c r="K2456" s="2">
        <v>45809</v>
      </c>
      <c r="L2456" s="2">
        <v>45848</v>
      </c>
      <c r="M2456" s="1" t="s">
        <v>4728</v>
      </c>
      <c r="N2456" s="1" t="s">
        <v>4727</v>
      </c>
    </row>
    <row r="2457" spans="1:14" x14ac:dyDescent="0.35">
      <c r="A2457" s="1" t="s">
        <v>4321</v>
      </c>
      <c r="B2457" s="3" t="s">
        <v>3105</v>
      </c>
      <c r="C2457" s="1" t="s">
        <v>3106</v>
      </c>
      <c r="D2457" s="1" t="s">
        <v>4726</v>
      </c>
      <c r="E2457" s="1" t="str">
        <f>"7110"</f>
        <v>7110</v>
      </c>
      <c r="F2457" s="1" t="str">
        <f>"016779863"</f>
        <v>016779863</v>
      </c>
      <c r="G2457" s="1" t="s">
        <v>4725</v>
      </c>
      <c r="H2457" s="1" t="s">
        <v>15</v>
      </c>
      <c r="I2457" s="3" t="str">
        <f>"2"</f>
        <v>2</v>
      </c>
      <c r="J2457" s="3">
        <v>3145.4</v>
      </c>
      <c r="K2457" s="2">
        <v>45847</v>
      </c>
      <c r="L2457" s="2">
        <v>45847</v>
      </c>
      <c r="M2457" s="1" t="s">
        <v>4724</v>
      </c>
    </row>
    <row r="2458" spans="1:14" x14ac:dyDescent="0.35">
      <c r="A2458" s="1" t="s">
        <v>4321</v>
      </c>
      <c r="B2458" s="3" t="s">
        <v>3183</v>
      </c>
      <c r="C2458" s="1" t="s">
        <v>3364</v>
      </c>
      <c r="D2458" s="1" t="s">
        <v>4723</v>
      </c>
      <c r="E2458" s="1" t="str">
        <f>"1240"</f>
        <v>1240</v>
      </c>
      <c r="F2458" s="1" t="str">
        <f>"015999400"</f>
        <v>015999400</v>
      </c>
      <c r="G2458" s="1" t="s">
        <v>4722</v>
      </c>
      <c r="H2458" s="1" t="s">
        <v>15</v>
      </c>
      <c r="I2458" s="3" t="str">
        <f>"1"</f>
        <v>1</v>
      </c>
      <c r="J2458" s="3" t="str">
        <f>"2531"</f>
        <v>2531</v>
      </c>
      <c r="K2458" s="2">
        <v>45846</v>
      </c>
      <c r="L2458" s="2">
        <v>45847</v>
      </c>
      <c r="M2458" s="1" t="s">
        <v>4721</v>
      </c>
      <c r="N2458" s="1" t="s">
        <v>4720</v>
      </c>
    </row>
    <row r="2459" spans="1:14" x14ac:dyDescent="0.35">
      <c r="A2459" s="1" t="s">
        <v>4321</v>
      </c>
      <c r="B2459" s="3" t="s">
        <v>93</v>
      </c>
      <c r="C2459" s="1" t="s">
        <v>446</v>
      </c>
      <c r="D2459" s="1" t="s">
        <v>4719</v>
      </c>
      <c r="E2459" s="1" t="str">
        <f>"7830"</f>
        <v>7830</v>
      </c>
      <c r="F2459" s="1" t="s">
        <v>3859</v>
      </c>
      <c r="G2459" s="1" t="s">
        <v>3860</v>
      </c>
      <c r="H2459" s="1" t="s">
        <v>15</v>
      </c>
      <c r="I2459" s="3" t="str">
        <f>"1"</f>
        <v>1</v>
      </c>
      <c r="J2459" s="3">
        <v>5199.88</v>
      </c>
      <c r="K2459" s="2">
        <v>45846</v>
      </c>
      <c r="L2459" s="2">
        <v>45847</v>
      </c>
      <c r="M2459" s="1" t="s">
        <v>4718</v>
      </c>
      <c r="N2459" s="1" t="s">
        <v>4717</v>
      </c>
    </row>
    <row r="2460" spans="1:14" x14ac:dyDescent="0.35">
      <c r="A2460" s="1" t="s">
        <v>4321</v>
      </c>
      <c r="B2460" s="3" t="s">
        <v>3513</v>
      </c>
      <c r="C2460" s="1" t="s">
        <v>4714</v>
      </c>
      <c r="D2460" s="1" t="s">
        <v>4716</v>
      </c>
      <c r="E2460" s="1" t="str">
        <f>"8465"</f>
        <v>8465</v>
      </c>
      <c r="F2460" s="1" t="str">
        <f>"016036613"</f>
        <v>016036613</v>
      </c>
      <c r="G2460" s="1" t="s">
        <v>804</v>
      </c>
      <c r="H2460" s="1" t="s">
        <v>15</v>
      </c>
      <c r="I2460" s="3" t="str">
        <f>"17"</f>
        <v>17</v>
      </c>
      <c r="J2460" s="3">
        <v>411.37</v>
      </c>
      <c r="K2460" s="2">
        <v>45845</v>
      </c>
      <c r="L2460" s="2">
        <v>45847</v>
      </c>
      <c r="M2460" s="1" t="s">
        <v>4715</v>
      </c>
      <c r="N2460" s="1" t="s">
        <v>4387</v>
      </c>
    </row>
    <row r="2461" spans="1:14" x14ac:dyDescent="0.35">
      <c r="A2461" s="1" t="s">
        <v>4321</v>
      </c>
      <c r="B2461" s="3" t="s">
        <v>3513</v>
      </c>
      <c r="C2461" s="1" t="s">
        <v>4714</v>
      </c>
      <c r="D2461" s="1" t="s">
        <v>4713</v>
      </c>
      <c r="E2461" s="1" t="str">
        <f>"8465"</f>
        <v>8465</v>
      </c>
      <c r="F2461" s="1" t="str">
        <f>"016036613"</f>
        <v>016036613</v>
      </c>
      <c r="G2461" s="1" t="s">
        <v>804</v>
      </c>
      <c r="H2461" s="1" t="s">
        <v>15</v>
      </c>
      <c r="I2461" s="3" t="str">
        <f>"14"</f>
        <v>14</v>
      </c>
      <c r="J2461" s="3">
        <v>411.37</v>
      </c>
      <c r="K2461" s="2">
        <v>45845</v>
      </c>
      <c r="L2461" s="2">
        <v>45847</v>
      </c>
      <c r="M2461" s="1" t="s">
        <v>4712</v>
      </c>
      <c r="N2461" s="1" t="s">
        <v>4387</v>
      </c>
    </row>
    <row r="2462" spans="1:14" x14ac:dyDescent="0.35">
      <c r="A2462" s="1" t="s">
        <v>4321</v>
      </c>
      <c r="B2462" s="3" t="s">
        <v>1699</v>
      </c>
      <c r="C2462" s="1" t="s">
        <v>1764</v>
      </c>
      <c r="D2462" s="1" t="s">
        <v>4711</v>
      </c>
      <c r="E2462" s="1" t="str">
        <f>"5120"</f>
        <v>5120</v>
      </c>
      <c r="F2462" s="1" t="str">
        <f>"002041999"</f>
        <v>002041999</v>
      </c>
      <c r="G2462" s="1" t="s">
        <v>1163</v>
      </c>
      <c r="H2462" s="1" t="s">
        <v>58</v>
      </c>
      <c r="I2462" s="3" t="str">
        <f>"1"</f>
        <v>1</v>
      </c>
      <c r="J2462" s="3">
        <v>818.4</v>
      </c>
      <c r="K2462" s="2">
        <v>45845</v>
      </c>
      <c r="L2462" s="2">
        <v>45847</v>
      </c>
      <c r="M2462" s="1" t="s">
        <v>1767</v>
      </c>
      <c r="N2462" s="1" t="s">
        <v>4710</v>
      </c>
    </row>
    <row r="2463" spans="1:14" x14ac:dyDescent="0.35">
      <c r="A2463" s="1" t="s">
        <v>4321</v>
      </c>
      <c r="B2463" s="3" t="s">
        <v>3183</v>
      </c>
      <c r="C2463" s="1" t="s">
        <v>3364</v>
      </c>
      <c r="D2463" s="1" t="s">
        <v>4709</v>
      </c>
      <c r="E2463" s="1" t="str">
        <f>"5965"</f>
        <v>5965</v>
      </c>
      <c r="F2463" s="1" t="str">
        <f>"226297499"</f>
        <v>226297499</v>
      </c>
      <c r="G2463" s="1" t="s">
        <v>22</v>
      </c>
      <c r="H2463" s="1" t="s">
        <v>15</v>
      </c>
      <c r="I2463" s="3" t="str">
        <f>"10"</f>
        <v>10</v>
      </c>
      <c r="J2463" s="3">
        <v>2219.81</v>
      </c>
      <c r="K2463" s="2">
        <v>45845</v>
      </c>
      <c r="L2463" s="2">
        <v>45847</v>
      </c>
      <c r="M2463" s="1" t="s">
        <v>4708</v>
      </c>
      <c r="N2463" s="1" t="s">
        <v>4707</v>
      </c>
    </row>
    <row r="2464" spans="1:14" x14ac:dyDescent="0.35">
      <c r="A2464" s="1" t="s">
        <v>4321</v>
      </c>
      <c r="B2464" s="3" t="s">
        <v>2000</v>
      </c>
      <c r="C2464" s="1" t="s">
        <v>2078</v>
      </c>
      <c r="D2464" s="1" t="s">
        <v>4706</v>
      </c>
      <c r="E2464" s="1" t="str">
        <f>"5965"</f>
        <v>5965</v>
      </c>
      <c r="F2464" s="1" t="str">
        <f>"015727941"</f>
        <v>015727941</v>
      </c>
      <c r="G2464" s="1" t="s">
        <v>22</v>
      </c>
      <c r="H2464" s="1" t="s">
        <v>19</v>
      </c>
      <c r="I2464" s="3" t="str">
        <f>"1"</f>
        <v>1</v>
      </c>
      <c r="J2464" s="3">
        <v>1483.55</v>
      </c>
      <c r="K2464" s="2">
        <v>45845</v>
      </c>
      <c r="L2464" s="2">
        <v>45847</v>
      </c>
      <c r="M2464" s="1" t="s">
        <v>4705</v>
      </c>
      <c r="N2464" s="1" t="s">
        <v>4704</v>
      </c>
    </row>
    <row r="2465" spans="1:14" x14ac:dyDescent="0.35">
      <c r="A2465" s="1" t="s">
        <v>4321</v>
      </c>
      <c r="B2465" s="3" t="s">
        <v>2720</v>
      </c>
      <c r="C2465" s="1" t="s">
        <v>2978</v>
      </c>
      <c r="D2465" s="1" t="s">
        <v>4703</v>
      </c>
      <c r="E2465" s="1" t="str">
        <f>"2320"</f>
        <v>2320</v>
      </c>
      <c r="F2465" s="1" t="str">
        <f>"008562480"</f>
        <v>008562480</v>
      </c>
      <c r="G2465" s="1" t="s">
        <v>117</v>
      </c>
      <c r="H2465" s="1" t="s">
        <v>15</v>
      </c>
      <c r="I2465" s="3" t="str">
        <f>"1"</f>
        <v>1</v>
      </c>
      <c r="J2465" s="3" t="str">
        <f>"42940"</f>
        <v>42940</v>
      </c>
      <c r="K2465" s="2">
        <v>45844</v>
      </c>
      <c r="L2465" s="2">
        <v>45847</v>
      </c>
      <c r="M2465" s="1" t="s">
        <v>4702</v>
      </c>
      <c r="N2465" s="1" t="s">
        <v>4701</v>
      </c>
    </row>
    <row r="2466" spans="1:14" x14ac:dyDescent="0.35">
      <c r="A2466" s="1" t="s">
        <v>4321</v>
      </c>
      <c r="B2466" s="3" t="s">
        <v>2720</v>
      </c>
      <c r="C2466" s="1" t="s">
        <v>2978</v>
      </c>
      <c r="D2466" s="1" t="s">
        <v>4703</v>
      </c>
      <c r="E2466" s="1" t="str">
        <f>"2320"</f>
        <v>2320</v>
      </c>
      <c r="F2466" s="1" t="str">
        <f>"008562480"</f>
        <v>008562480</v>
      </c>
      <c r="G2466" s="1" t="s">
        <v>117</v>
      </c>
      <c r="H2466" s="1" t="s">
        <v>15</v>
      </c>
      <c r="I2466" s="3" t="str">
        <f>"1"</f>
        <v>1</v>
      </c>
      <c r="J2466" s="3" t="str">
        <f>"42940"</f>
        <v>42940</v>
      </c>
      <c r="K2466" s="2">
        <v>45844</v>
      </c>
      <c r="L2466" s="2">
        <v>45847</v>
      </c>
      <c r="M2466" s="1" t="s">
        <v>4702</v>
      </c>
      <c r="N2466" s="1" t="s">
        <v>4701</v>
      </c>
    </row>
    <row r="2467" spans="1:14" x14ac:dyDescent="0.35">
      <c r="A2467" s="1" t="s">
        <v>4321</v>
      </c>
      <c r="B2467" s="3" t="s">
        <v>2720</v>
      </c>
      <c r="C2467" s="1" t="s">
        <v>2978</v>
      </c>
      <c r="D2467" s="1" t="s">
        <v>4700</v>
      </c>
      <c r="E2467" s="1" t="str">
        <f>"2320"</f>
        <v>2320</v>
      </c>
      <c r="F2467" s="1" t="str">
        <f>"014473893"</f>
        <v>014473893</v>
      </c>
      <c r="G2467" s="1" t="s">
        <v>1820</v>
      </c>
      <c r="H2467" s="1" t="s">
        <v>15</v>
      </c>
      <c r="I2467" s="3" t="str">
        <f>"1"</f>
        <v>1</v>
      </c>
      <c r="J2467" s="3" t="str">
        <f>"167746"</f>
        <v>167746</v>
      </c>
      <c r="K2467" s="2">
        <v>45844</v>
      </c>
      <c r="L2467" s="2">
        <v>45847</v>
      </c>
      <c r="M2467" s="1" t="s">
        <v>4699</v>
      </c>
      <c r="N2467" s="1" t="s">
        <v>4698</v>
      </c>
    </row>
    <row r="2468" spans="1:14" x14ac:dyDescent="0.35">
      <c r="A2468" s="1" t="s">
        <v>4321</v>
      </c>
      <c r="B2468" s="3" t="s">
        <v>2720</v>
      </c>
      <c r="C2468" s="1" t="s">
        <v>2978</v>
      </c>
      <c r="D2468" s="1" t="s">
        <v>4700</v>
      </c>
      <c r="E2468" s="1" t="str">
        <f>"2320"</f>
        <v>2320</v>
      </c>
      <c r="F2468" s="1" t="str">
        <f>"014473893"</f>
        <v>014473893</v>
      </c>
      <c r="G2468" s="1" t="s">
        <v>1820</v>
      </c>
      <c r="H2468" s="1" t="s">
        <v>15</v>
      </c>
      <c r="I2468" s="3" t="str">
        <f>"1"</f>
        <v>1</v>
      </c>
      <c r="J2468" s="3" t="str">
        <f>"167746"</f>
        <v>167746</v>
      </c>
      <c r="K2468" s="2">
        <v>45844</v>
      </c>
      <c r="L2468" s="2">
        <v>45847</v>
      </c>
      <c r="M2468" s="1" t="s">
        <v>4699</v>
      </c>
      <c r="N2468" s="1" t="s">
        <v>4698</v>
      </c>
    </row>
    <row r="2469" spans="1:14" x14ac:dyDescent="0.35">
      <c r="A2469" s="1" t="s">
        <v>4321</v>
      </c>
      <c r="B2469" s="3" t="s">
        <v>3183</v>
      </c>
      <c r="C2469" s="1" t="s">
        <v>3184</v>
      </c>
      <c r="D2469" s="1" t="s">
        <v>4697</v>
      </c>
      <c r="E2469" s="1" t="str">
        <f>"2340"</f>
        <v>2340</v>
      </c>
      <c r="F2469" s="1" t="s">
        <v>694</v>
      </c>
      <c r="G2469" s="1" t="s">
        <v>695</v>
      </c>
      <c r="H2469" s="1" t="s">
        <v>15</v>
      </c>
      <c r="I2469" s="3" t="str">
        <f>"1"</f>
        <v>1</v>
      </c>
      <c r="J2469" s="3" t="str">
        <f>"5000"</f>
        <v>5000</v>
      </c>
      <c r="K2469" s="2">
        <v>45843</v>
      </c>
      <c r="L2469" s="2">
        <v>45847</v>
      </c>
      <c r="M2469" s="1" t="s">
        <v>4696</v>
      </c>
      <c r="N2469" s="1" t="s">
        <v>4695</v>
      </c>
    </row>
    <row r="2470" spans="1:14" x14ac:dyDescent="0.35">
      <c r="A2470" s="1" t="s">
        <v>4321</v>
      </c>
      <c r="B2470" s="3" t="s">
        <v>1445</v>
      </c>
      <c r="C2470" s="1" t="s">
        <v>1459</v>
      </c>
      <c r="D2470" s="1" t="s">
        <v>4694</v>
      </c>
      <c r="E2470" s="1" t="str">
        <f>"6230"</f>
        <v>6230</v>
      </c>
      <c r="F2470" s="1" t="str">
        <f>"015493979"</f>
        <v>015493979</v>
      </c>
      <c r="G2470" s="1" t="s">
        <v>538</v>
      </c>
      <c r="H2470" s="1" t="s">
        <v>15</v>
      </c>
      <c r="I2470" s="3" t="str">
        <f>"8"</f>
        <v>8</v>
      </c>
      <c r="J2470" s="3">
        <v>4295.8100000000004</v>
      </c>
      <c r="K2470" s="2">
        <v>45843</v>
      </c>
      <c r="L2470" s="2">
        <v>45847</v>
      </c>
      <c r="M2470" s="1" t="s">
        <v>4693</v>
      </c>
      <c r="N2470" s="1" t="s">
        <v>4343</v>
      </c>
    </row>
    <row r="2471" spans="1:14" x14ac:dyDescent="0.35">
      <c r="A2471" s="1" t="s">
        <v>4321</v>
      </c>
      <c r="B2471" s="3" t="s">
        <v>2145</v>
      </c>
      <c r="C2471" s="1" t="s">
        <v>2153</v>
      </c>
      <c r="D2471" s="1" t="s">
        <v>4692</v>
      </c>
      <c r="E2471" s="1" t="str">
        <f>"3950"</f>
        <v>3950</v>
      </c>
      <c r="F2471" s="1" t="str">
        <f>"016010691"</f>
        <v>016010691</v>
      </c>
      <c r="G2471" s="1" t="s">
        <v>4691</v>
      </c>
      <c r="H2471" s="1" t="s">
        <v>15</v>
      </c>
      <c r="I2471" s="3" t="str">
        <f>"1"</f>
        <v>1</v>
      </c>
      <c r="J2471" s="3" t="str">
        <f>"84946"</f>
        <v>84946</v>
      </c>
      <c r="K2471" s="2">
        <v>45843</v>
      </c>
      <c r="L2471" s="2">
        <v>45847</v>
      </c>
      <c r="M2471" s="1" t="s">
        <v>4690</v>
      </c>
      <c r="N2471" s="1" t="s">
        <v>4689</v>
      </c>
    </row>
    <row r="2472" spans="1:14" x14ac:dyDescent="0.35">
      <c r="A2472" s="1" t="s">
        <v>4321</v>
      </c>
      <c r="B2472" s="3" t="s">
        <v>3885</v>
      </c>
      <c r="C2472" s="1" t="s">
        <v>4019</v>
      </c>
      <c r="D2472" s="1" t="s">
        <v>4688</v>
      </c>
      <c r="E2472" s="1" t="str">
        <f>"5965"</f>
        <v>5965</v>
      </c>
      <c r="F2472" s="1" t="str">
        <f>"226297499"</f>
        <v>226297499</v>
      </c>
      <c r="G2472" s="1" t="s">
        <v>22</v>
      </c>
      <c r="H2472" s="1" t="s">
        <v>15</v>
      </c>
      <c r="I2472" s="3" t="str">
        <f>"8"</f>
        <v>8</v>
      </c>
      <c r="J2472" s="3">
        <v>2219.81</v>
      </c>
      <c r="K2472" s="2">
        <v>45842</v>
      </c>
      <c r="L2472" s="2">
        <v>45847</v>
      </c>
      <c r="M2472" s="1" t="s">
        <v>4687</v>
      </c>
      <c r="N2472" s="1" t="s">
        <v>4686</v>
      </c>
    </row>
    <row r="2473" spans="1:14" x14ac:dyDescent="0.35">
      <c r="A2473" s="1" t="s">
        <v>4321</v>
      </c>
      <c r="B2473" s="3" t="s">
        <v>3183</v>
      </c>
      <c r="C2473" s="1" t="s">
        <v>3364</v>
      </c>
      <c r="D2473" s="1" t="s">
        <v>4685</v>
      </c>
      <c r="E2473" s="1" t="str">
        <f>"5965"</f>
        <v>5965</v>
      </c>
      <c r="F2473" s="1" t="str">
        <f>"226296584"</f>
        <v>226296584</v>
      </c>
      <c r="G2473" s="1" t="s">
        <v>1389</v>
      </c>
      <c r="H2473" s="1" t="s">
        <v>15</v>
      </c>
      <c r="I2473" s="3" t="str">
        <f>"5"</f>
        <v>5</v>
      </c>
      <c r="J2473" s="3">
        <v>1567.84</v>
      </c>
      <c r="K2473" s="2">
        <v>45840</v>
      </c>
      <c r="L2473" s="2">
        <v>45847</v>
      </c>
      <c r="M2473" s="1" t="s">
        <v>4684</v>
      </c>
      <c r="N2473" s="1" t="s">
        <v>4683</v>
      </c>
    </row>
    <row r="2474" spans="1:14" x14ac:dyDescent="0.35">
      <c r="A2474" s="1" t="s">
        <v>4321</v>
      </c>
      <c r="B2474" s="3" t="s">
        <v>806</v>
      </c>
      <c r="C2474" s="1" t="s">
        <v>870</v>
      </c>
      <c r="D2474" s="1" t="s">
        <v>4682</v>
      </c>
      <c r="E2474" s="1" t="str">
        <f>"2340"</f>
        <v>2340</v>
      </c>
      <c r="F2474" s="1" t="s">
        <v>694</v>
      </c>
      <c r="G2474" s="1" t="s">
        <v>695</v>
      </c>
      <c r="H2474" s="1" t="s">
        <v>15</v>
      </c>
      <c r="I2474" s="3" t="str">
        <f>"1"</f>
        <v>1</v>
      </c>
      <c r="J2474" s="3" t="str">
        <f>"9000"</f>
        <v>9000</v>
      </c>
      <c r="K2474" s="2">
        <v>45838</v>
      </c>
      <c r="L2474" s="2">
        <v>45847</v>
      </c>
      <c r="M2474" s="1" t="s">
        <v>4681</v>
      </c>
      <c r="N2474" s="1" t="s">
        <v>4680</v>
      </c>
    </row>
    <row r="2475" spans="1:14" x14ac:dyDescent="0.35">
      <c r="A2475" s="1" t="s">
        <v>4321</v>
      </c>
      <c r="B2475" s="3" t="s">
        <v>2720</v>
      </c>
      <c r="C2475" s="1" t="s">
        <v>2978</v>
      </c>
      <c r="D2475" s="1" t="s">
        <v>4679</v>
      </c>
      <c r="E2475" s="1" t="str">
        <f>"2320"</f>
        <v>2320</v>
      </c>
      <c r="F2475" s="1" t="str">
        <f>"016271386"</f>
        <v>016271386</v>
      </c>
      <c r="G2475" s="1" t="s">
        <v>604</v>
      </c>
      <c r="H2475" s="1" t="s">
        <v>15</v>
      </c>
      <c r="I2475" s="3" t="str">
        <f>"2"</f>
        <v>2</v>
      </c>
      <c r="J2475" s="3" t="str">
        <f>"321959"</f>
        <v>321959</v>
      </c>
      <c r="K2475" s="2">
        <v>45824</v>
      </c>
      <c r="L2475" s="2">
        <v>45847</v>
      </c>
      <c r="M2475" s="1" t="s">
        <v>4678</v>
      </c>
      <c r="N2475" s="1" t="s">
        <v>4677</v>
      </c>
    </row>
    <row r="2476" spans="1:14" x14ac:dyDescent="0.35">
      <c r="A2476" s="1" t="s">
        <v>4321</v>
      </c>
      <c r="B2476" s="3" t="s">
        <v>3885</v>
      </c>
      <c r="C2476" s="1" t="s">
        <v>3895</v>
      </c>
      <c r="D2476" s="1" t="s">
        <v>4676</v>
      </c>
      <c r="E2476" s="1" t="str">
        <f>"2320"</f>
        <v>2320</v>
      </c>
      <c r="F2476" s="1" t="str">
        <f>"015762508"</f>
        <v>015762508</v>
      </c>
      <c r="G2476" s="1" t="s">
        <v>1799</v>
      </c>
      <c r="H2476" s="1" t="s">
        <v>15</v>
      </c>
      <c r="I2476" s="3" t="str">
        <f>"1"</f>
        <v>1</v>
      </c>
      <c r="J2476" s="3" t="str">
        <f>"21000"</f>
        <v>21000</v>
      </c>
      <c r="K2476" s="2">
        <v>45823</v>
      </c>
      <c r="L2476" s="2">
        <v>45847</v>
      </c>
      <c r="M2476" s="1" t="s">
        <v>4675</v>
      </c>
      <c r="N2476" s="1" t="s">
        <v>4674</v>
      </c>
    </row>
    <row r="2477" spans="1:14" x14ac:dyDescent="0.35">
      <c r="A2477" s="1" t="s">
        <v>4321</v>
      </c>
      <c r="B2477" s="3" t="s">
        <v>1699</v>
      </c>
      <c r="C2477" s="1" t="s">
        <v>1704</v>
      </c>
      <c r="D2477" s="1" t="s">
        <v>4673</v>
      </c>
      <c r="E2477" s="1" t="str">
        <f>"3930"</f>
        <v>3930</v>
      </c>
      <c r="F2477" s="1" t="s">
        <v>1706</v>
      </c>
      <c r="G2477" s="1" t="s">
        <v>1707</v>
      </c>
      <c r="H2477" s="1" t="s">
        <v>15</v>
      </c>
      <c r="I2477" s="3" t="str">
        <f>"1"</f>
        <v>1</v>
      </c>
      <c r="J2477" s="3" t="str">
        <f>"55000"</f>
        <v>55000</v>
      </c>
      <c r="K2477" s="2">
        <v>45817</v>
      </c>
      <c r="L2477" s="2">
        <v>45847</v>
      </c>
      <c r="M2477" s="1" t="s">
        <v>1708</v>
      </c>
      <c r="N2477" s="1" t="s">
        <v>4672</v>
      </c>
    </row>
    <row r="2478" spans="1:14" x14ac:dyDescent="0.35">
      <c r="A2478" s="1" t="s">
        <v>4321</v>
      </c>
      <c r="B2478" s="3" t="s">
        <v>3513</v>
      </c>
      <c r="C2478" s="1" t="s">
        <v>3874</v>
      </c>
      <c r="D2478" s="1" t="s">
        <v>4671</v>
      </c>
      <c r="E2478" s="1" t="str">
        <f>"5965"</f>
        <v>5965</v>
      </c>
      <c r="F2478" s="1" t="s">
        <v>2193</v>
      </c>
      <c r="G2478" s="1" t="s">
        <v>2194</v>
      </c>
      <c r="H2478" s="1" t="s">
        <v>15</v>
      </c>
      <c r="I2478" s="3" t="str">
        <f>"4"</f>
        <v>4</v>
      </c>
      <c r="J2478" s="3" t="str">
        <f>"1450"</f>
        <v>1450</v>
      </c>
      <c r="K2478" s="2">
        <v>45809</v>
      </c>
      <c r="L2478" s="2">
        <v>45847</v>
      </c>
      <c r="M2478" s="1" t="s">
        <v>4668</v>
      </c>
      <c r="N2478" s="1" t="s">
        <v>4670</v>
      </c>
    </row>
    <row r="2479" spans="1:14" x14ac:dyDescent="0.35">
      <c r="A2479" s="1" t="s">
        <v>4321</v>
      </c>
      <c r="B2479" s="3" t="s">
        <v>3513</v>
      </c>
      <c r="C2479" s="1" t="s">
        <v>3874</v>
      </c>
      <c r="D2479" s="1" t="s">
        <v>4669</v>
      </c>
      <c r="E2479" s="1" t="str">
        <f>"5965"</f>
        <v>5965</v>
      </c>
      <c r="F2479" s="1" t="s">
        <v>2193</v>
      </c>
      <c r="G2479" s="1" t="s">
        <v>2194</v>
      </c>
      <c r="H2479" s="1" t="s">
        <v>15</v>
      </c>
      <c r="I2479" s="3" t="str">
        <f>"4"</f>
        <v>4</v>
      </c>
      <c r="J2479" s="3" t="str">
        <f>"1200"</f>
        <v>1200</v>
      </c>
      <c r="K2479" s="2">
        <v>45809</v>
      </c>
      <c r="L2479" s="2">
        <v>45847</v>
      </c>
      <c r="M2479" s="1" t="s">
        <v>4668</v>
      </c>
      <c r="N2479" s="1" t="s">
        <v>4667</v>
      </c>
    </row>
    <row r="2480" spans="1:14" x14ac:dyDescent="0.35">
      <c r="A2480" s="1" t="s">
        <v>4321</v>
      </c>
      <c r="B2480" s="3" t="s">
        <v>1857</v>
      </c>
      <c r="C2480" s="1" t="s">
        <v>1902</v>
      </c>
      <c r="D2480" s="1" t="s">
        <v>4666</v>
      </c>
      <c r="E2480" s="1" t="str">
        <f>"5855"</f>
        <v>5855</v>
      </c>
      <c r="F2480" s="1" t="str">
        <f>"015716715"</f>
        <v>015716715</v>
      </c>
      <c r="G2480" s="1" t="s">
        <v>2117</v>
      </c>
      <c r="H2480" s="1" t="s">
        <v>15</v>
      </c>
      <c r="I2480" s="3" t="str">
        <f>"20"</f>
        <v>20</v>
      </c>
      <c r="J2480" s="3" t="str">
        <f>"14627"</f>
        <v>14627</v>
      </c>
      <c r="K2480" s="2">
        <v>45543</v>
      </c>
      <c r="L2480" s="2">
        <v>45847</v>
      </c>
      <c r="M2480" s="1" t="s">
        <v>4665</v>
      </c>
      <c r="N2480" s="1" t="s">
        <v>4664</v>
      </c>
    </row>
    <row r="2481" spans="1:14" x14ac:dyDescent="0.35">
      <c r="A2481" s="1" t="s">
        <v>4321</v>
      </c>
      <c r="B2481" s="3" t="s">
        <v>2456</v>
      </c>
      <c r="C2481" s="1" t="s">
        <v>2457</v>
      </c>
      <c r="D2481" s="1" t="s">
        <v>4663</v>
      </c>
      <c r="E2481" s="1" t="str">
        <f>"8470"</f>
        <v>8470</v>
      </c>
      <c r="F2481" s="1" t="s">
        <v>4662</v>
      </c>
      <c r="G2481" s="1" t="s">
        <v>4661</v>
      </c>
      <c r="H2481" s="1" t="s">
        <v>15</v>
      </c>
      <c r="I2481" s="3" t="str">
        <f>"2"</f>
        <v>2</v>
      </c>
      <c r="J2481" s="3" t="str">
        <f>"1493"</f>
        <v>1493</v>
      </c>
      <c r="K2481" s="2">
        <v>45846</v>
      </c>
      <c r="L2481" s="2">
        <v>45846</v>
      </c>
      <c r="M2481" s="1" t="s">
        <v>4660</v>
      </c>
      <c r="N2481" s="1" t="s">
        <v>4343</v>
      </c>
    </row>
    <row r="2482" spans="1:14" x14ac:dyDescent="0.35">
      <c r="A2482" s="1" t="s">
        <v>4321</v>
      </c>
      <c r="B2482" s="3" t="s">
        <v>1699</v>
      </c>
      <c r="C2482" s="1" t="s">
        <v>1750</v>
      </c>
      <c r="D2482" s="1" t="s">
        <v>4659</v>
      </c>
      <c r="E2482" s="1" t="str">
        <f>"5130"</f>
        <v>5130</v>
      </c>
      <c r="F2482" s="1" t="s">
        <v>3746</v>
      </c>
      <c r="G2482" s="1" t="s">
        <v>3747</v>
      </c>
      <c r="H2482" s="1" t="s">
        <v>15</v>
      </c>
      <c r="I2482" s="3" t="str">
        <f>"2"</f>
        <v>2</v>
      </c>
      <c r="J2482" s="3" t="str">
        <f>"158"</f>
        <v>158</v>
      </c>
      <c r="K2482" s="2">
        <v>45845</v>
      </c>
      <c r="L2482" s="2">
        <v>45846</v>
      </c>
      <c r="M2482" s="1" t="s">
        <v>4658</v>
      </c>
      <c r="N2482" s="1" t="s">
        <v>4343</v>
      </c>
    </row>
    <row r="2483" spans="1:14" x14ac:dyDescent="0.35">
      <c r="A2483" s="1" t="s">
        <v>4321</v>
      </c>
      <c r="B2483" s="3" t="s">
        <v>4087</v>
      </c>
      <c r="C2483" s="1" t="s">
        <v>4121</v>
      </c>
      <c r="D2483" s="1" t="s">
        <v>4657</v>
      </c>
      <c r="E2483" s="1" t="str">
        <f>"6140"</f>
        <v>6140</v>
      </c>
      <c r="F2483" s="1" t="str">
        <f>"014904316"</f>
        <v>014904316</v>
      </c>
      <c r="G2483" s="1" t="s">
        <v>4327</v>
      </c>
      <c r="H2483" s="1" t="s">
        <v>15</v>
      </c>
      <c r="I2483" s="3" t="str">
        <f>"10"</f>
        <v>10</v>
      </c>
      <c r="J2483" s="3">
        <v>225.12</v>
      </c>
      <c r="K2483" s="2">
        <v>45845</v>
      </c>
      <c r="L2483" s="2">
        <v>45846</v>
      </c>
      <c r="M2483" s="1" t="s">
        <v>4656</v>
      </c>
      <c r="N2483" s="1" t="s">
        <v>4343</v>
      </c>
    </row>
    <row r="2484" spans="1:14" x14ac:dyDescent="0.35">
      <c r="A2484" s="1" t="s">
        <v>4321</v>
      </c>
      <c r="B2484" s="3" t="s">
        <v>806</v>
      </c>
      <c r="C2484" s="1" t="s">
        <v>870</v>
      </c>
      <c r="D2484" s="1" t="s">
        <v>4655</v>
      </c>
      <c r="E2484" s="1" t="str">
        <f>"7310"</f>
        <v>7310</v>
      </c>
      <c r="F2484" s="1" t="str">
        <f>"003641196"</f>
        <v>003641196</v>
      </c>
      <c r="G2484" s="1" t="s">
        <v>4654</v>
      </c>
      <c r="H2484" s="1" t="s">
        <v>15</v>
      </c>
      <c r="I2484" s="3" t="str">
        <f>"1"</f>
        <v>1</v>
      </c>
      <c r="J2484" s="3">
        <v>1504.01</v>
      </c>
      <c r="K2484" s="2">
        <v>45845</v>
      </c>
      <c r="L2484" s="2">
        <v>45846</v>
      </c>
      <c r="M2484" s="1" t="s">
        <v>4653</v>
      </c>
      <c r="N2484" s="1" t="s">
        <v>4652</v>
      </c>
    </row>
    <row r="2485" spans="1:14" x14ac:dyDescent="0.35">
      <c r="A2485" s="1" t="s">
        <v>4321</v>
      </c>
      <c r="B2485" s="3" t="s">
        <v>3105</v>
      </c>
      <c r="C2485" s="1" t="s">
        <v>3154</v>
      </c>
      <c r="D2485" s="1" t="s">
        <v>4651</v>
      </c>
      <c r="E2485" s="1" t="str">
        <f>"2340"</f>
        <v>2340</v>
      </c>
      <c r="F2485" s="1" t="s">
        <v>647</v>
      </c>
      <c r="G2485" s="1" t="s">
        <v>648</v>
      </c>
      <c r="H2485" s="1" t="s">
        <v>15</v>
      </c>
      <c r="I2485" s="3" t="str">
        <f>"1"</f>
        <v>1</v>
      </c>
      <c r="J2485" s="3" t="str">
        <f>"11536"</f>
        <v>11536</v>
      </c>
      <c r="K2485" s="2">
        <v>45844</v>
      </c>
      <c r="L2485" s="2">
        <v>45846</v>
      </c>
      <c r="M2485" s="1" t="s">
        <v>4650</v>
      </c>
      <c r="N2485" s="1" t="s">
        <v>4649</v>
      </c>
    </row>
    <row r="2486" spans="1:14" x14ac:dyDescent="0.35">
      <c r="A2486" s="1" t="s">
        <v>4321</v>
      </c>
      <c r="B2486" s="3" t="s">
        <v>3183</v>
      </c>
      <c r="C2486" s="1" t="s">
        <v>3256</v>
      </c>
      <c r="D2486" s="1" t="s">
        <v>4648</v>
      </c>
      <c r="E2486" s="1" t="str">
        <f>"2340"</f>
        <v>2340</v>
      </c>
      <c r="F2486" s="1" t="s">
        <v>647</v>
      </c>
      <c r="G2486" s="1" t="s">
        <v>648</v>
      </c>
      <c r="H2486" s="1" t="s">
        <v>15</v>
      </c>
      <c r="I2486" s="3" t="str">
        <f>"1"</f>
        <v>1</v>
      </c>
      <c r="J2486" s="3" t="str">
        <f>"11536"</f>
        <v>11536</v>
      </c>
      <c r="K2486" s="2">
        <v>45843</v>
      </c>
      <c r="L2486" s="2">
        <v>45846</v>
      </c>
      <c r="M2486" s="1" t="s">
        <v>4647</v>
      </c>
      <c r="N2486" s="1" t="s">
        <v>4646</v>
      </c>
    </row>
    <row r="2487" spans="1:14" x14ac:dyDescent="0.35">
      <c r="A2487" s="1" t="s">
        <v>4321</v>
      </c>
      <c r="B2487" s="3" t="s">
        <v>2145</v>
      </c>
      <c r="C2487" s="1" t="s">
        <v>2153</v>
      </c>
      <c r="D2487" s="1" t="s">
        <v>4645</v>
      </c>
      <c r="E2487" s="1" t="str">
        <f>"2340"</f>
        <v>2340</v>
      </c>
      <c r="F2487" s="1" t="s">
        <v>647</v>
      </c>
      <c r="G2487" s="1" t="s">
        <v>648</v>
      </c>
      <c r="H2487" s="1" t="s">
        <v>15</v>
      </c>
      <c r="I2487" s="3" t="str">
        <f>"1"</f>
        <v>1</v>
      </c>
      <c r="J2487" s="3" t="str">
        <f>"11536"</f>
        <v>11536</v>
      </c>
      <c r="K2487" s="2">
        <v>45843</v>
      </c>
      <c r="L2487" s="2">
        <v>45846</v>
      </c>
      <c r="M2487" s="1" t="s">
        <v>4644</v>
      </c>
      <c r="N2487" s="1" t="s">
        <v>4643</v>
      </c>
    </row>
    <row r="2488" spans="1:14" x14ac:dyDescent="0.35">
      <c r="A2488" s="1" t="s">
        <v>4321</v>
      </c>
      <c r="B2488" s="3" t="s">
        <v>2145</v>
      </c>
      <c r="C2488" s="1" t="s">
        <v>2153</v>
      </c>
      <c r="D2488" s="1" t="s">
        <v>4642</v>
      </c>
      <c r="E2488" s="1" t="str">
        <f>"4110"</f>
        <v>4110</v>
      </c>
      <c r="F2488" s="1" t="str">
        <f>"015351386"</f>
        <v>015351386</v>
      </c>
      <c r="G2488" s="1" t="s">
        <v>4641</v>
      </c>
      <c r="H2488" s="1" t="s">
        <v>15</v>
      </c>
      <c r="I2488" s="3" t="str">
        <f>"4"</f>
        <v>4</v>
      </c>
      <c r="J2488" s="3">
        <v>321.83999999999997</v>
      </c>
      <c r="K2488" s="2">
        <v>45843</v>
      </c>
      <c r="L2488" s="2">
        <v>45846</v>
      </c>
      <c r="M2488" s="1" t="s">
        <v>4640</v>
      </c>
      <c r="N2488" s="1" t="s">
        <v>4639</v>
      </c>
    </row>
    <row r="2489" spans="1:14" x14ac:dyDescent="0.35">
      <c r="A2489" s="1" t="s">
        <v>4321</v>
      </c>
      <c r="B2489" s="3" t="s">
        <v>691</v>
      </c>
      <c r="C2489" s="1" t="s">
        <v>782</v>
      </c>
      <c r="D2489" s="1" t="s">
        <v>4638</v>
      </c>
      <c r="E2489" s="1" t="str">
        <f>"4240"</f>
        <v>4240</v>
      </c>
      <c r="F2489" s="1" t="str">
        <f>"015405576"</f>
        <v>015405576</v>
      </c>
      <c r="G2489" s="1" t="s">
        <v>211</v>
      </c>
      <c r="H2489" s="1" t="s">
        <v>15</v>
      </c>
      <c r="I2489" s="3" t="str">
        <f>"16"</f>
        <v>16</v>
      </c>
      <c r="J2489" s="3">
        <v>56.95</v>
      </c>
      <c r="K2489" s="2">
        <v>45840</v>
      </c>
      <c r="L2489" s="2">
        <v>45846</v>
      </c>
      <c r="M2489" s="1" t="s">
        <v>4633</v>
      </c>
      <c r="N2489" s="1" t="s">
        <v>4637</v>
      </c>
    </row>
    <row r="2490" spans="1:14" x14ac:dyDescent="0.35">
      <c r="A2490" s="1" t="s">
        <v>4321</v>
      </c>
      <c r="B2490" s="3" t="s">
        <v>691</v>
      </c>
      <c r="C2490" s="1" t="s">
        <v>782</v>
      </c>
      <c r="D2490" s="1" t="s">
        <v>4636</v>
      </c>
      <c r="E2490" s="1" t="str">
        <f>"4240"</f>
        <v>4240</v>
      </c>
      <c r="F2490" s="1" t="str">
        <f>"015405576"</f>
        <v>015405576</v>
      </c>
      <c r="G2490" s="1" t="s">
        <v>211</v>
      </c>
      <c r="H2490" s="1" t="s">
        <v>15</v>
      </c>
      <c r="I2490" s="3" t="str">
        <f>"17"</f>
        <v>17</v>
      </c>
      <c r="J2490" s="3">
        <v>56.95</v>
      </c>
      <c r="K2490" s="2">
        <v>45840</v>
      </c>
      <c r="L2490" s="2">
        <v>45846</v>
      </c>
      <c r="M2490" s="1" t="s">
        <v>4633</v>
      </c>
      <c r="N2490" s="1" t="s">
        <v>4635</v>
      </c>
    </row>
    <row r="2491" spans="1:14" x14ac:dyDescent="0.35">
      <c r="A2491" s="1" t="s">
        <v>4321</v>
      </c>
      <c r="B2491" s="3" t="s">
        <v>691</v>
      </c>
      <c r="C2491" s="1" t="s">
        <v>782</v>
      </c>
      <c r="D2491" s="1" t="s">
        <v>4634</v>
      </c>
      <c r="E2491" s="1" t="str">
        <f>"4240"</f>
        <v>4240</v>
      </c>
      <c r="F2491" s="1" t="str">
        <f>"015405576"</f>
        <v>015405576</v>
      </c>
      <c r="G2491" s="1" t="s">
        <v>211</v>
      </c>
      <c r="H2491" s="1" t="s">
        <v>15</v>
      </c>
      <c r="I2491" s="3" t="str">
        <f>"18"</f>
        <v>18</v>
      </c>
      <c r="J2491" s="3">
        <v>56.95</v>
      </c>
      <c r="K2491" s="2">
        <v>45840</v>
      </c>
      <c r="L2491" s="2">
        <v>45846</v>
      </c>
      <c r="M2491" s="1" t="s">
        <v>4633</v>
      </c>
      <c r="N2491" s="1" t="s">
        <v>4632</v>
      </c>
    </row>
    <row r="2492" spans="1:14" x14ac:dyDescent="0.35">
      <c r="A2492" s="1" t="s">
        <v>4321</v>
      </c>
      <c r="B2492" s="3" t="s">
        <v>1844</v>
      </c>
      <c r="C2492" s="1" t="s">
        <v>1845</v>
      </c>
      <c r="D2492" s="1" t="s">
        <v>4631</v>
      </c>
      <c r="E2492" s="1" t="str">
        <f>"8470"</f>
        <v>8470</v>
      </c>
      <c r="F2492" s="1" t="str">
        <f>"016806862"</f>
        <v>016806862</v>
      </c>
      <c r="G2492" s="1" t="s">
        <v>4629</v>
      </c>
      <c r="H2492" s="1" t="s">
        <v>15</v>
      </c>
      <c r="I2492" s="3" t="str">
        <f>"4"</f>
        <v>4</v>
      </c>
      <c r="J2492" s="3" t="str">
        <f>"750"</f>
        <v>750</v>
      </c>
      <c r="K2492" s="2">
        <v>45837</v>
      </c>
      <c r="L2492" s="2">
        <v>45846</v>
      </c>
      <c r="M2492" s="1" t="s">
        <v>4432</v>
      </c>
      <c r="N2492" s="1" t="s">
        <v>4343</v>
      </c>
    </row>
    <row r="2493" spans="1:14" x14ac:dyDescent="0.35">
      <c r="A2493" s="1" t="s">
        <v>4321</v>
      </c>
      <c r="B2493" s="3" t="s">
        <v>1844</v>
      </c>
      <c r="C2493" s="1" t="s">
        <v>1845</v>
      </c>
      <c r="D2493" s="1" t="s">
        <v>4630</v>
      </c>
      <c r="E2493" s="1" t="str">
        <f>"8470"</f>
        <v>8470</v>
      </c>
      <c r="F2493" s="1" t="str">
        <f>"016809216"</f>
        <v>016809216</v>
      </c>
      <c r="G2493" s="1" t="s">
        <v>4629</v>
      </c>
      <c r="H2493" s="1" t="s">
        <v>15</v>
      </c>
      <c r="I2493" s="3" t="str">
        <f>"8"</f>
        <v>8</v>
      </c>
      <c r="J2493" s="3" t="str">
        <f>"765"</f>
        <v>765</v>
      </c>
      <c r="K2493" s="2">
        <v>45837</v>
      </c>
      <c r="L2493" s="2">
        <v>45846</v>
      </c>
      <c r="M2493" s="1" t="s">
        <v>4432</v>
      </c>
      <c r="N2493" s="1" t="s">
        <v>4343</v>
      </c>
    </row>
    <row r="2494" spans="1:14" x14ac:dyDescent="0.35">
      <c r="A2494" s="1" t="s">
        <v>4321</v>
      </c>
      <c r="B2494" s="3" t="s">
        <v>3513</v>
      </c>
      <c r="C2494" s="1" t="s">
        <v>3514</v>
      </c>
      <c r="D2494" s="1" t="s">
        <v>4628</v>
      </c>
      <c r="E2494" s="1" t="str">
        <f>"6760"</f>
        <v>6760</v>
      </c>
      <c r="F2494" s="1" t="str">
        <f>"015470419"</f>
        <v>015470419</v>
      </c>
      <c r="G2494" s="1" t="s">
        <v>1576</v>
      </c>
      <c r="H2494" s="1" t="s">
        <v>15</v>
      </c>
      <c r="I2494" s="3" t="str">
        <f>"3"</f>
        <v>3</v>
      </c>
      <c r="J2494" s="3">
        <v>25.82</v>
      </c>
      <c r="K2494" s="2">
        <v>45836</v>
      </c>
      <c r="L2494" s="2">
        <v>45846</v>
      </c>
      <c r="M2494" s="1" t="s">
        <v>4627</v>
      </c>
      <c r="N2494" s="1" t="s">
        <v>4626</v>
      </c>
    </row>
    <row r="2495" spans="1:14" x14ac:dyDescent="0.35">
      <c r="A2495" s="1" t="s">
        <v>4321</v>
      </c>
      <c r="B2495" s="3" t="s">
        <v>3183</v>
      </c>
      <c r="C2495" s="1" t="s">
        <v>3256</v>
      </c>
      <c r="D2495" s="1" t="s">
        <v>4625</v>
      </c>
      <c r="E2495" s="1" t="str">
        <f>"6115"</f>
        <v>6115</v>
      </c>
      <c r="F2495" s="1" t="s">
        <v>174</v>
      </c>
      <c r="G2495" s="1" t="s">
        <v>175</v>
      </c>
      <c r="H2495" s="1" t="s">
        <v>15</v>
      </c>
      <c r="I2495" s="3" t="str">
        <f>"1"</f>
        <v>1</v>
      </c>
      <c r="J2495" s="3" t="str">
        <f>"625"</f>
        <v>625</v>
      </c>
      <c r="K2495" s="2">
        <v>45836</v>
      </c>
      <c r="L2495" s="2">
        <v>45846</v>
      </c>
      <c r="M2495" s="1" t="s">
        <v>4624</v>
      </c>
      <c r="N2495" s="1" t="s">
        <v>4623</v>
      </c>
    </row>
    <row r="2496" spans="1:14" x14ac:dyDescent="0.35">
      <c r="A2496" s="1" t="s">
        <v>4321</v>
      </c>
      <c r="B2496" s="3" t="s">
        <v>2987</v>
      </c>
      <c r="C2496" s="1" t="s">
        <v>3097</v>
      </c>
      <c r="D2496" s="1" t="s">
        <v>4622</v>
      </c>
      <c r="E2496" s="1" t="str">
        <f>"1005"</f>
        <v>1005</v>
      </c>
      <c r="F2496" s="1" t="str">
        <f>"014526771"</f>
        <v>014526771</v>
      </c>
      <c r="G2496" s="1" t="s">
        <v>1865</v>
      </c>
      <c r="H2496" s="1" t="s">
        <v>15</v>
      </c>
      <c r="I2496" s="3" t="str">
        <f>"4"</f>
        <v>4</v>
      </c>
      <c r="J2496" s="3">
        <v>142.91999999999999</v>
      </c>
      <c r="K2496" s="2">
        <v>45823</v>
      </c>
      <c r="L2496" s="2">
        <v>45846</v>
      </c>
      <c r="M2496" s="1" t="s">
        <v>4621</v>
      </c>
      <c r="N2496" s="1" t="s">
        <v>4620</v>
      </c>
    </row>
    <row r="2497" spans="1:14" x14ac:dyDescent="0.35">
      <c r="A2497" s="1" t="s">
        <v>4321</v>
      </c>
      <c r="B2497" s="3" t="s">
        <v>1445</v>
      </c>
      <c r="C2497" s="1" t="s">
        <v>1459</v>
      </c>
      <c r="D2497" s="1" t="s">
        <v>4619</v>
      </c>
      <c r="E2497" s="1" t="str">
        <f>"6720"</f>
        <v>6720</v>
      </c>
      <c r="F2497" s="1" t="str">
        <f>"013758732"</f>
        <v>013758732</v>
      </c>
      <c r="G2497" s="1" t="s">
        <v>4362</v>
      </c>
      <c r="H2497" s="1" t="s">
        <v>15</v>
      </c>
      <c r="I2497" s="3" t="str">
        <f>"3"</f>
        <v>3</v>
      </c>
      <c r="J2497" s="3" t="str">
        <f>"9990"</f>
        <v>9990</v>
      </c>
      <c r="K2497" s="2">
        <v>45822</v>
      </c>
      <c r="L2497" s="2">
        <v>45846</v>
      </c>
      <c r="M2497" s="1" t="s">
        <v>4618</v>
      </c>
      <c r="N2497" s="1" t="s">
        <v>4617</v>
      </c>
    </row>
    <row r="2498" spans="1:14" x14ac:dyDescent="0.35">
      <c r="A2498" s="1" t="s">
        <v>4321</v>
      </c>
      <c r="B2498" s="3" t="s">
        <v>2494</v>
      </c>
      <c r="C2498" s="1" t="s">
        <v>4610</v>
      </c>
      <c r="D2498" s="1" t="s">
        <v>4616</v>
      </c>
      <c r="E2498" s="1" t="str">
        <f>"7210"</f>
        <v>7210</v>
      </c>
      <c r="F2498" s="1" t="str">
        <f>"009356666"</f>
        <v>009356666</v>
      </c>
      <c r="G2498" s="1" t="s">
        <v>1443</v>
      </c>
      <c r="H2498" s="1" t="s">
        <v>15</v>
      </c>
      <c r="I2498" s="3" t="str">
        <f>"70"</f>
        <v>70</v>
      </c>
      <c r="J2498" s="3">
        <v>6.5</v>
      </c>
      <c r="K2498" s="2">
        <v>45819</v>
      </c>
      <c r="L2498" s="2">
        <v>45846</v>
      </c>
      <c r="M2498" s="1" t="s">
        <v>4615</v>
      </c>
      <c r="N2498" s="1" t="s">
        <v>4614</v>
      </c>
    </row>
    <row r="2499" spans="1:14" x14ac:dyDescent="0.35">
      <c r="A2499" s="1" t="s">
        <v>4321</v>
      </c>
      <c r="B2499" s="3" t="s">
        <v>2494</v>
      </c>
      <c r="C2499" s="1" t="s">
        <v>4610</v>
      </c>
      <c r="D2499" s="1" t="s">
        <v>4613</v>
      </c>
      <c r="E2499" s="1" t="str">
        <f>"5895"</f>
        <v>5895</v>
      </c>
      <c r="F2499" s="1" t="str">
        <f>"016531529"</f>
        <v>016531529</v>
      </c>
      <c r="G2499" s="1" t="s">
        <v>3921</v>
      </c>
      <c r="H2499" s="1" t="s">
        <v>15</v>
      </c>
      <c r="I2499" s="3" t="str">
        <f>"2"</f>
        <v>2</v>
      </c>
      <c r="J2499" s="3">
        <v>5122.9799999999996</v>
      </c>
      <c r="K2499" s="2">
        <v>45819</v>
      </c>
      <c r="L2499" s="2">
        <v>45846</v>
      </c>
      <c r="M2499" s="1" t="s">
        <v>4612</v>
      </c>
      <c r="N2499" s="1" t="s">
        <v>4611</v>
      </c>
    </row>
    <row r="2500" spans="1:14" x14ac:dyDescent="0.35">
      <c r="A2500" s="1" t="s">
        <v>4321</v>
      </c>
      <c r="B2500" s="3" t="s">
        <v>2494</v>
      </c>
      <c r="C2500" s="1" t="s">
        <v>4610</v>
      </c>
      <c r="D2500" s="1" t="s">
        <v>4609</v>
      </c>
      <c r="E2500" s="1" t="str">
        <f>"8415"</f>
        <v>8415</v>
      </c>
      <c r="F2500" s="1" t="s">
        <v>1359</v>
      </c>
      <c r="G2500" s="1" t="s">
        <v>1360</v>
      </c>
      <c r="H2500" s="1" t="s">
        <v>15</v>
      </c>
      <c r="I2500" s="3" t="str">
        <f>"12"</f>
        <v>12</v>
      </c>
      <c r="J2500" s="3" t="str">
        <f>"7"</f>
        <v>7</v>
      </c>
      <c r="K2500" s="2">
        <v>45819</v>
      </c>
      <c r="L2500" s="2">
        <v>45846</v>
      </c>
      <c r="M2500" s="1" t="s">
        <v>4608</v>
      </c>
      <c r="N2500" s="1" t="s">
        <v>4607</v>
      </c>
    </row>
    <row r="2501" spans="1:14" x14ac:dyDescent="0.35">
      <c r="A2501" s="1" t="s">
        <v>4321</v>
      </c>
      <c r="B2501" s="3" t="s">
        <v>2494</v>
      </c>
      <c r="C2501" s="1" t="s">
        <v>2562</v>
      </c>
      <c r="D2501" s="1" t="s">
        <v>4606</v>
      </c>
      <c r="E2501" s="1" t="str">
        <f>"2310"</f>
        <v>2310</v>
      </c>
      <c r="F2501" s="1" t="s">
        <v>413</v>
      </c>
      <c r="G2501" s="1" t="s">
        <v>414</v>
      </c>
      <c r="H2501" s="1" t="s">
        <v>15</v>
      </c>
      <c r="I2501" s="3" t="str">
        <f>"1"</f>
        <v>1</v>
      </c>
      <c r="J2501" s="3" t="str">
        <f>"10000"</f>
        <v>10000</v>
      </c>
      <c r="K2501" s="2">
        <v>45817</v>
      </c>
      <c r="L2501" s="2">
        <v>45846</v>
      </c>
      <c r="M2501" s="1" t="s">
        <v>4605</v>
      </c>
      <c r="N2501" s="1" t="s">
        <v>4604</v>
      </c>
    </row>
    <row r="2502" spans="1:14" x14ac:dyDescent="0.35">
      <c r="A2502" s="1" t="s">
        <v>4321</v>
      </c>
      <c r="B2502" s="3" t="s">
        <v>2114</v>
      </c>
      <c r="C2502" s="1" t="s">
        <v>4603</v>
      </c>
      <c r="D2502" s="1" t="s">
        <v>4602</v>
      </c>
      <c r="E2502" s="1" t="str">
        <f>"1005"</f>
        <v>1005</v>
      </c>
      <c r="F2502" s="1" t="str">
        <f>"016309508"</f>
        <v>016309508</v>
      </c>
      <c r="G2502" s="1" t="s">
        <v>4601</v>
      </c>
      <c r="H2502" s="1" t="s">
        <v>15</v>
      </c>
      <c r="I2502" s="3" t="str">
        <f>"20"</f>
        <v>20</v>
      </c>
      <c r="J2502" s="3">
        <v>13.99</v>
      </c>
      <c r="K2502" s="2">
        <v>45801</v>
      </c>
      <c r="L2502" s="2">
        <v>45846</v>
      </c>
      <c r="M2502" s="1" t="s">
        <v>4600</v>
      </c>
      <c r="N2502" s="1" t="s">
        <v>4599</v>
      </c>
    </row>
    <row r="2503" spans="1:14" x14ac:dyDescent="0.35">
      <c r="A2503" s="1" t="s">
        <v>4321</v>
      </c>
      <c r="B2503" s="3" t="s">
        <v>3105</v>
      </c>
      <c r="C2503" s="1" t="s">
        <v>4598</v>
      </c>
      <c r="D2503" s="1" t="s">
        <v>4597</v>
      </c>
      <c r="E2503" s="1" t="str">
        <f>"2360"</f>
        <v>2360</v>
      </c>
      <c r="F2503" s="1" t="str">
        <f>"016629084"</f>
        <v>016629084</v>
      </c>
      <c r="G2503" s="1" t="s">
        <v>14</v>
      </c>
      <c r="H2503" s="1" t="s">
        <v>15</v>
      </c>
      <c r="I2503" s="3" t="str">
        <f>"1"</f>
        <v>1</v>
      </c>
      <c r="J2503" s="3" t="str">
        <f>"200000"</f>
        <v>200000</v>
      </c>
      <c r="K2503" s="2">
        <v>45778</v>
      </c>
      <c r="L2503" s="2">
        <v>45846</v>
      </c>
      <c r="M2503" s="1" t="s">
        <v>4596</v>
      </c>
      <c r="N2503" s="1" t="s">
        <v>4595</v>
      </c>
    </row>
    <row r="2504" spans="1:14" x14ac:dyDescent="0.35">
      <c r="A2504" s="1" t="s">
        <v>4321</v>
      </c>
      <c r="B2504" s="3" t="s">
        <v>4594</v>
      </c>
      <c r="C2504" s="1" t="s">
        <v>4593</v>
      </c>
      <c r="D2504" s="1" t="s">
        <v>4592</v>
      </c>
      <c r="E2504" s="1" t="str">
        <f>"1385"</f>
        <v>1385</v>
      </c>
      <c r="F2504" s="1" t="str">
        <f>"015349826"</f>
        <v>015349826</v>
      </c>
      <c r="G2504" s="1" t="s">
        <v>2247</v>
      </c>
      <c r="H2504" s="1" t="s">
        <v>15</v>
      </c>
      <c r="I2504" s="3" t="str">
        <f>"1"</f>
        <v>1</v>
      </c>
      <c r="J2504" s="3" t="str">
        <f>"240625"</f>
        <v>240625</v>
      </c>
      <c r="K2504" s="2">
        <v>45763</v>
      </c>
      <c r="L2504" s="2">
        <v>45846</v>
      </c>
      <c r="M2504" s="1" t="s">
        <v>4591</v>
      </c>
      <c r="N2504" s="1" t="s">
        <v>4590</v>
      </c>
    </row>
    <row r="2505" spans="1:14" x14ac:dyDescent="0.35">
      <c r="A2505" s="1" t="s">
        <v>4321</v>
      </c>
      <c r="B2505" s="3" t="s">
        <v>2000</v>
      </c>
      <c r="C2505" s="1" t="s">
        <v>4539</v>
      </c>
      <c r="D2505" s="1" t="s">
        <v>4589</v>
      </c>
      <c r="E2505" s="1" t="str">
        <f>"8415"</f>
        <v>8415</v>
      </c>
      <c r="F2505" s="1" t="str">
        <f>"014920178"</f>
        <v>014920178</v>
      </c>
      <c r="G2505" s="1" t="s">
        <v>3620</v>
      </c>
      <c r="H2505" s="1" t="s">
        <v>290</v>
      </c>
      <c r="I2505" s="3" t="str">
        <f>"20"</f>
        <v>20</v>
      </c>
      <c r="J2505" s="3">
        <v>20.71</v>
      </c>
      <c r="K2505" s="2">
        <v>45599</v>
      </c>
      <c r="L2505" s="2">
        <v>45846</v>
      </c>
      <c r="M2505" s="1" t="s">
        <v>4537</v>
      </c>
      <c r="N2505" s="1" t="s">
        <v>4588</v>
      </c>
    </row>
    <row r="2506" spans="1:14" x14ac:dyDescent="0.35">
      <c r="A2506" s="1" t="s">
        <v>4321</v>
      </c>
      <c r="B2506" s="3" t="s">
        <v>1992</v>
      </c>
      <c r="C2506" s="1" t="s">
        <v>1993</v>
      </c>
      <c r="D2506" s="1" t="s">
        <v>4587</v>
      </c>
      <c r="E2506" s="1" t="str">
        <f>"6780"</f>
        <v>6780</v>
      </c>
      <c r="F2506" s="1" t="s">
        <v>4586</v>
      </c>
      <c r="G2506" s="1" t="s">
        <v>4585</v>
      </c>
      <c r="H2506" s="1" t="s">
        <v>15</v>
      </c>
      <c r="I2506" s="3" t="str">
        <f>"12"</f>
        <v>12</v>
      </c>
      <c r="J2506" s="3">
        <v>26421.7</v>
      </c>
      <c r="K2506" s="2">
        <v>45213</v>
      </c>
      <c r="L2506" s="2">
        <v>45846</v>
      </c>
      <c r="M2506" s="1" t="s">
        <v>4584</v>
      </c>
      <c r="N2506" s="1" t="s">
        <v>4583</v>
      </c>
    </row>
    <row r="2507" spans="1:14" x14ac:dyDescent="0.35">
      <c r="A2507" s="1" t="s">
        <v>4321</v>
      </c>
      <c r="B2507" s="3" t="s">
        <v>1857</v>
      </c>
      <c r="C2507" s="1" t="s">
        <v>1869</v>
      </c>
      <c r="D2507" s="1" t="s">
        <v>4582</v>
      </c>
      <c r="E2507" s="1" t="str">
        <f>"2340"</f>
        <v>2340</v>
      </c>
      <c r="F2507" s="1" t="s">
        <v>647</v>
      </c>
      <c r="G2507" s="1" t="s">
        <v>648</v>
      </c>
      <c r="H2507" s="1" t="s">
        <v>15</v>
      </c>
      <c r="I2507" s="3" t="str">
        <f>"1"</f>
        <v>1</v>
      </c>
      <c r="J2507" s="3" t="str">
        <f>"11536"</f>
        <v>11536</v>
      </c>
      <c r="K2507" s="2">
        <v>45845</v>
      </c>
      <c r="L2507" s="2">
        <v>45845</v>
      </c>
      <c r="M2507" s="1" t="s">
        <v>4581</v>
      </c>
      <c r="N2507" s="1" t="s">
        <v>4343</v>
      </c>
    </row>
    <row r="2508" spans="1:14" x14ac:dyDescent="0.35">
      <c r="A2508" s="1" t="s">
        <v>4321</v>
      </c>
      <c r="B2508" s="3" t="s">
        <v>1857</v>
      </c>
      <c r="C2508" s="1" t="s">
        <v>4580</v>
      </c>
      <c r="D2508" s="1" t="s">
        <v>4579</v>
      </c>
      <c r="E2508" s="1" t="str">
        <f>"2340"</f>
        <v>2340</v>
      </c>
      <c r="F2508" s="1" t="s">
        <v>647</v>
      </c>
      <c r="G2508" s="1" t="s">
        <v>648</v>
      </c>
      <c r="H2508" s="1" t="s">
        <v>15</v>
      </c>
      <c r="I2508" s="3" t="str">
        <f>"1"</f>
        <v>1</v>
      </c>
      <c r="J2508" s="3" t="str">
        <f>"11536"</f>
        <v>11536</v>
      </c>
      <c r="K2508" s="2">
        <v>45843</v>
      </c>
      <c r="L2508" s="2">
        <v>45845</v>
      </c>
      <c r="M2508" s="1" t="s">
        <v>4578</v>
      </c>
      <c r="N2508" s="1" t="s">
        <v>4343</v>
      </c>
    </row>
    <row r="2509" spans="1:14" x14ac:dyDescent="0.35">
      <c r="A2509" s="1" t="s">
        <v>4321</v>
      </c>
      <c r="B2509" s="3" t="s">
        <v>2000</v>
      </c>
      <c r="C2509" s="1" t="s">
        <v>2078</v>
      </c>
      <c r="D2509" s="1" t="s">
        <v>4577</v>
      </c>
      <c r="E2509" s="1" t="str">
        <f>"4210"</f>
        <v>4210</v>
      </c>
      <c r="F2509" s="1" t="s">
        <v>2086</v>
      </c>
      <c r="G2509" s="1" t="s">
        <v>2087</v>
      </c>
      <c r="H2509" s="1" t="s">
        <v>15</v>
      </c>
      <c r="I2509" s="3" t="str">
        <f>"6"</f>
        <v>6</v>
      </c>
      <c r="J2509" s="3">
        <v>632.9</v>
      </c>
      <c r="K2509" s="2">
        <v>45822</v>
      </c>
      <c r="L2509" s="2">
        <v>45845</v>
      </c>
      <c r="M2509" s="1" t="s">
        <v>4576</v>
      </c>
      <c r="N2509" s="1" t="s">
        <v>4575</v>
      </c>
    </row>
    <row r="2510" spans="1:14" x14ac:dyDescent="0.35">
      <c r="A2510" s="1" t="s">
        <v>4321</v>
      </c>
      <c r="B2510" s="3" t="s">
        <v>806</v>
      </c>
      <c r="C2510" s="1" t="s">
        <v>870</v>
      </c>
      <c r="D2510" s="1" t="s">
        <v>4574</v>
      </c>
      <c r="E2510" s="1" t="str">
        <f>"4240"</f>
        <v>4240</v>
      </c>
      <c r="F2510" s="1" t="str">
        <f>"016444966"</f>
        <v>016444966</v>
      </c>
      <c r="G2510" s="1" t="s">
        <v>4573</v>
      </c>
      <c r="H2510" s="1" t="s">
        <v>15</v>
      </c>
      <c r="I2510" s="3" t="str">
        <f>"3"</f>
        <v>3</v>
      </c>
      <c r="J2510" s="3">
        <v>25971.7</v>
      </c>
      <c r="K2510" s="2">
        <v>45817</v>
      </c>
      <c r="L2510" s="2">
        <v>45845</v>
      </c>
      <c r="M2510" s="1" t="s">
        <v>4572</v>
      </c>
      <c r="N2510" s="1" t="s">
        <v>4571</v>
      </c>
    </row>
    <row r="2511" spans="1:14" x14ac:dyDescent="0.35">
      <c r="A2511" s="1" t="s">
        <v>4321</v>
      </c>
      <c r="B2511" s="3" t="s">
        <v>4284</v>
      </c>
      <c r="C2511" s="1" t="s">
        <v>4567</v>
      </c>
      <c r="D2511" s="1" t="s">
        <v>4570</v>
      </c>
      <c r="E2511" s="1" t="str">
        <f>"2320"</f>
        <v>2320</v>
      </c>
      <c r="F2511" s="1" t="s">
        <v>321</v>
      </c>
      <c r="G2511" s="1" t="s">
        <v>322</v>
      </c>
      <c r="H2511" s="1" t="s">
        <v>15</v>
      </c>
      <c r="I2511" s="3" t="str">
        <f>"1"</f>
        <v>1</v>
      </c>
      <c r="J2511" s="3" t="str">
        <f>"50000"</f>
        <v>50000</v>
      </c>
      <c r="K2511" s="2">
        <v>45809</v>
      </c>
      <c r="L2511" s="2">
        <v>45845</v>
      </c>
      <c r="M2511" s="1" t="s">
        <v>4569</v>
      </c>
      <c r="N2511" s="1" t="s">
        <v>4568</v>
      </c>
    </row>
    <row r="2512" spans="1:14" x14ac:dyDescent="0.35">
      <c r="A2512" s="1" t="s">
        <v>4321</v>
      </c>
      <c r="B2512" s="3" t="s">
        <v>4284</v>
      </c>
      <c r="C2512" s="1" t="s">
        <v>4567</v>
      </c>
      <c r="D2512" s="1" t="s">
        <v>4566</v>
      </c>
      <c r="E2512" s="1" t="str">
        <f>"2330"</f>
        <v>2330</v>
      </c>
      <c r="F2512" s="1" t="s">
        <v>70</v>
      </c>
      <c r="G2512" s="1" t="s">
        <v>71</v>
      </c>
      <c r="H2512" s="1" t="s">
        <v>15</v>
      </c>
      <c r="I2512" s="3" t="str">
        <f>"1"</f>
        <v>1</v>
      </c>
      <c r="J2512" s="3" t="str">
        <f>"2400"</f>
        <v>2400</v>
      </c>
      <c r="K2512" s="2">
        <v>45809</v>
      </c>
      <c r="L2512" s="2">
        <v>45845</v>
      </c>
      <c r="M2512" s="1" t="s">
        <v>4565</v>
      </c>
      <c r="N2512" s="1" t="s">
        <v>4564</v>
      </c>
    </row>
    <row r="2513" spans="1:14" x14ac:dyDescent="0.35">
      <c r="A2513" s="1" t="s">
        <v>4321</v>
      </c>
      <c r="B2513" s="3" t="s">
        <v>1407</v>
      </c>
      <c r="C2513" s="1" t="s">
        <v>1408</v>
      </c>
      <c r="D2513" s="1" t="s">
        <v>4563</v>
      </c>
      <c r="E2513" s="1" t="str">
        <f>"8145"</f>
        <v>8145</v>
      </c>
      <c r="F2513" s="1" t="str">
        <f>"015755398"</f>
        <v>015755398</v>
      </c>
      <c r="G2513" s="1" t="s">
        <v>3779</v>
      </c>
      <c r="H2513" s="1" t="s">
        <v>15</v>
      </c>
      <c r="I2513" s="3" t="str">
        <f>"1"</f>
        <v>1</v>
      </c>
      <c r="J2513" s="3" t="str">
        <f>"9705"</f>
        <v>9705</v>
      </c>
      <c r="K2513" s="2">
        <v>45798</v>
      </c>
      <c r="L2513" s="2">
        <v>45845</v>
      </c>
      <c r="N2513" s="1" t="s">
        <v>4562</v>
      </c>
    </row>
    <row r="2514" spans="1:14" x14ac:dyDescent="0.35">
      <c r="A2514" s="1" t="s">
        <v>4321</v>
      </c>
      <c r="B2514" s="3" t="s">
        <v>1407</v>
      </c>
      <c r="C2514" s="1" t="s">
        <v>1408</v>
      </c>
      <c r="D2514" s="1" t="s">
        <v>4561</v>
      </c>
      <c r="E2514" s="1" t="str">
        <f>"8145"</f>
        <v>8145</v>
      </c>
      <c r="F2514" s="1" t="str">
        <f>"015755398"</f>
        <v>015755398</v>
      </c>
      <c r="G2514" s="1" t="s">
        <v>3779</v>
      </c>
      <c r="H2514" s="1" t="s">
        <v>15</v>
      </c>
      <c r="I2514" s="3" t="str">
        <f>"1"</f>
        <v>1</v>
      </c>
      <c r="J2514" s="3" t="str">
        <f>"9705"</f>
        <v>9705</v>
      </c>
      <c r="K2514" s="2">
        <v>45798</v>
      </c>
      <c r="L2514" s="2">
        <v>45845</v>
      </c>
      <c r="N2514" s="1" t="s">
        <v>4560</v>
      </c>
    </row>
    <row r="2515" spans="1:14" x14ac:dyDescent="0.35">
      <c r="A2515" s="1" t="s">
        <v>4321</v>
      </c>
      <c r="B2515" s="3" t="s">
        <v>1407</v>
      </c>
      <c r="C2515" s="1" t="s">
        <v>1408</v>
      </c>
      <c r="D2515" s="1" t="s">
        <v>4559</v>
      </c>
      <c r="E2515" s="1" t="str">
        <f>"8145"</f>
        <v>8145</v>
      </c>
      <c r="F2515" s="1" t="str">
        <f>"015755398"</f>
        <v>015755398</v>
      </c>
      <c r="G2515" s="1" t="s">
        <v>3779</v>
      </c>
      <c r="H2515" s="1" t="s">
        <v>15</v>
      </c>
      <c r="I2515" s="3" t="str">
        <f>"1"</f>
        <v>1</v>
      </c>
      <c r="J2515" s="3" t="str">
        <f>"9705"</f>
        <v>9705</v>
      </c>
      <c r="K2515" s="2">
        <v>45798</v>
      </c>
      <c r="L2515" s="2">
        <v>45845</v>
      </c>
      <c r="N2515" s="1" t="s">
        <v>4558</v>
      </c>
    </row>
    <row r="2516" spans="1:14" x14ac:dyDescent="0.35">
      <c r="A2516" s="1" t="s">
        <v>4321</v>
      </c>
      <c r="B2516" s="3" t="s">
        <v>1407</v>
      </c>
      <c r="C2516" s="1" t="s">
        <v>1408</v>
      </c>
      <c r="D2516" s="1" t="s">
        <v>4557</v>
      </c>
      <c r="E2516" s="1" t="str">
        <f>"8145"</f>
        <v>8145</v>
      </c>
      <c r="F2516" s="1" t="str">
        <f>"015755398"</f>
        <v>015755398</v>
      </c>
      <c r="G2516" s="1" t="s">
        <v>3779</v>
      </c>
      <c r="H2516" s="1" t="s">
        <v>15</v>
      </c>
      <c r="I2516" s="3" t="str">
        <f>"1"</f>
        <v>1</v>
      </c>
      <c r="J2516" s="3" t="str">
        <f>"9705"</f>
        <v>9705</v>
      </c>
      <c r="K2516" s="2">
        <v>45798</v>
      </c>
      <c r="L2516" s="2">
        <v>45845</v>
      </c>
      <c r="N2516" s="1" t="s">
        <v>4556</v>
      </c>
    </row>
    <row r="2517" spans="1:14" x14ac:dyDescent="0.35">
      <c r="A2517" s="1" t="s">
        <v>4321</v>
      </c>
      <c r="B2517" s="3" t="s">
        <v>1407</v>
      </c>
      <c r="C2517" s="1" t="s">
        <v>1408</v>
      </c>
      <c r="D2517" s="1" t="s">
        <v>4555</v>
      </c>
      <c r="E2517" s="1" t="str">
        <f>"8145"</f>
        <v>8145</v>
      </c>
      <c r="F2517" s="1" t="str">
        <f>"015755398"</f>
        <v>015755398</v>
      </c>
      <c r="G2517" s="1" t="s">
        <v>3779</v>
      </c>
      <c r="H2517" s="1" t="s">
        <v>15</v>
      </c>
      <c r="I2517" s="3" t="str">
        <f>"1"</f>
        <v>1</v>
      </c>
      <c r="J2517" s="3" t="str">
        <f>"9705"</f>
        <v>9705</v>
      </c>
      <c r="K2517" s="2">
        <v>45798</v>
      </c>
      <c r="L2517" s="2">
        <v>45845</v>
      </c>
      <c r="N2517" s="1" t="s">
        <v>4554</v>
      </c>
    </row>
    <row r="2518" spans="1:14" x14ac:dyDescent="0.35">
      <c r="A2518" s="1" t="s">
        <v>4321</v>
      </c>
      <c r="B2518" s="3" t="s">
        <v>1407</v>
      </c>
      <c r="C2518" s="1" t="s">
        <v>1408</v>
      </c>
      <c r="D2518" s="1" t="s">
        <v>4553</v>
      </c>
      <c r="E2518" s="1" t="str">
        <f>"8145"</f>
        <v>8145</v>
      </c>
      <c r="F2518" s="1" t="str">
        <f>"015755398"</f>
        <v>015755398</v>
      </c>
      <c r="G2518" s="1" t="s">
        <v>3779</v>
      </c>
      <c r="H2518" s="1" t="s">
        <v>15</v>
      </c>
      <c r="I2518" s="3" t="str">
        <f>"1"</f>
        <v>1</v>
      </c>
      <c r="J2518" s="3" t="str">
        <f>"9705"</f>
        <v>9705</v>
      </c>
      <c r="K2518" s="2">
        <v>45798</v>
      </c>
      <c r="L2518" s="2">
        <v>45845</v>
      </c>
      <c r="N2518" s="1" t="s">
        <v>4552</v>
      </c>
    </row>
    <row r="2519" spans="1:14" x14ac:dyDescent="0.35">
      <c r="A2519" s="1" t="s">
        <v>4321</v>
      </c>
      <c r="B2519" s="3" t="s">
        <v>1407</v>
      </c>
      <c r="C2519" s="1" t="s">
        <v>1408</v>
      </c>
      <c r="D2519" s="1" t="s">
        <v>4551</v>
      </c>
      <c r="E2519" s="1" t="str">
        <f>"8145"</f>
        <v>8145</v>
      </c>
      <c r="F2519" s="1" t="str">
        <f>"015755398"</f>
        <v>015755398</v>
      </c>
      <c r="G2519" s="1" t="s">
        <v>3779</v>
      </c>
      <c r="H2519" s="1" t="s">
        <v>15</v>
      </c>
      <c r="I2519" s="3" t="str">
        <f>"1"</f>
        <v>1</v>
      </c>
      <c r="J2519" s="3" t="str">
        <f>"9705"</f>
        <v>9705</v>
      </c>
      <c r="K2519" s="2">
        <v>45798</v>
      </c>
      <c r="L2519" s="2">
        <v>45845</v>
      </c>
      <c r="N2519" s="1" t="s">
        <v>4550</v>
      </c>
    </row>
    <row r="2520" spans="1:14" x14ac:dyDescent="0.35">
      <c r="A2520" s="1" t="s">
        <v>4321</v>
      </c>
      <c r="B2520" s="3" t="s">
        <v>1407</v>
      </c>
      <c r="C2520" s="1" t="s">
        <v>1408</v>
      </c>
      <c r="D2520" s="1" t="s">
        <v>4549</v>
      </c>
      <c r="E2520" s="1" t="str">
        <f>"8145"</f>
        <v>8145</v>
      </c>
      <c r="F2520" s="1" t="str">
        <f>"015755398"</f>
        <v>015755398</v>
      </c>
      <c r="G2520" s="1" t="s">
        <v>3779</v>
      </c>
      <c r="H2520" s="1" t="s">
        <v>15</v>
      </c>
      <c r="I2520" s="3" t="str">
        <f>"1"</f>
        <v>1</v>
      </c>
      <c r="J2520" s="3" t="str">
        <f>"9705"</f>
        <v>9705</v>
      </c>
      <c r="K2520" s="2">
        <v>45798</v>
      </c>
      <c r="L2520" s="2">
        <v>45845</v>
      </c>
      <c r="N2520" s="1" t="s">
        <v>4548</v>
      </c>
    </row>
    <row r="2521" spans="1:14" x14ac:dyDescent="0.35">
      <c r="A2521" s="1" t="s">
        <v>4321</v>
      </c>
      <c r="B2521" s="3" t="s">
        <v>3513</v>
      </c>
      <c r="C2521" s="1" t="s">
        <v>4547</v>
      </c>
      <c r="D2521" s="1" t="s">
        <v>4546</v>
      </c>
      <c r="E2521" s="1" t="str">
        <f>"4235"</f>
        <v>4235</v>
      </c>
      <c r="F2521" s="1" t="str">
        <f>"012810336"</f>
        <v>012810336</v>
      </c>
      <c r="G2521" s="1" t="s">
        <v>4545</v>
      </c>
      <c r="H2521" s="1" t="s">
        <v>532</v>
      </c>
      <c r="I2521" s="3" t="str">
        <f>"6"</f>
        <v>6</v>
      </c>
      <c r="J2521" s="3">
        <v>69.34</v>
      </c>
      <c r="K2521" s="2">
        <v>45798</v>
      </c>
      <c r="L2521" s="2">
        <v>45845</v>
      </c>
      <c r="M2521" s="1" t="s">
        <v>4544</v>
      </c>
      <c r="N2521" s="1" t="s">
        <v>4543</v>
      </c>
    </row>
    <row r="2522" spans="1:14" x14ac:dyDescent="0.35">
      <c r="A2522" s="1" t="s">
        <v>4321</v>
      </c>
      <c r="B2522" s="3" t="s">
        <v>2000</v>
      </c>
      <c r="C2522" s="1" t="s">
        <v>2078</v>
      </c>
      <c r="D2522" s="1" t="s">
        <v>4542</v>
      </c>
      <c r="E2522" s="1" t="str">
        <f>"2320"</f>
        <v>2320</v>
      </c>
      <c r="F2522" s="1" t="s">
        <v>1871</v>
      </c>
      <c r="G2522" s="1" t="s">
        <v>1872</v>
      </c>
      <c r="H2522" s="1" t="s">
        <v>15</v>
      </c>
      <c r="I2522" s="3" t="str">
        <f>"1"</f>
        <v>1</v>
      </c>
      <c r="J2522" s="3">
        <v>26701.39</v>
      </c>
      <c r="K2522" s="2">
        <v>45748</v>
      </c>
      <c r="L2522" s="2">
        <v>45845</v>
      </c>
      <c r="M2522" s="1" t="s">
        <v>4541</v>
      </c>
      <c r="N2522" s="1" t="s">
        <v>4540</v>
      </c>
    </row>
    <row r="2523" spans="1:14" x14ac:dyDescent="0.35">
      <c r="A2523" s="1" t="s">
        <v>4321</v>
      </c>
      <c r="B2523" s="3" t="s">
        <v>2000</v>
      </c>
      <c r="C2523" s="1" t="s">
        <v>4539</v>
      </c>
      <c r="D2523" s="1" t="s">
        <v>4538</v>
      </c>
      <c r="E2523" s="1" t="str">
        <f>"8415"</f>
        <v>8415</v>
      </c>
      <c r="F2523" s="1" t="str">
        <f>"014920180"</f>
        <v>014920180</v>
      </c>
      <c r="G2523" s="1" t="s">
        <v>3620</v>
      </c>
      <c r="H2523" s="1" t="s">
        <v>290</v>
      </c>
      <c r="I2523" s="3" t="str">
        <f>"20"</f>
        <v>20</v>
      </c>
      <c r="J2523" s="3">
        <v>20.71</v>
      </c>
      <c r="K2523" s="2">
        <v>45599</v>
      </c>
      <c r="L2523" s="2">
        <v>45845</v>
      </c>
      <c r="M2523" s="1" t="s">
        <v>4537</v>
      </c>
      <c r="N2523" s="1" t="s">
        <v>4536</v>
      </c>
    </row>
    <row r="2524" spans="1:14" x14ac:dyDescent="0.35">
      <c r="A2524" s="1" t="s">
        <v>4321</v>
      </c>
      <c r="B2524" s="3" t="s">
        <v>2720</v>
      </c>
      <c r="C2524" s="1" t="s">
        <v>2770</v>
      </c>
      <c r="D2524" s="1" t="s">
        <v>4535</v>
      </c>
      <c r="E2524" s="1" t="str">
        <f>"8415"</f>
        <v>8415</v>
      </c>
      <c r="F2524" s="1" t="str">
        <f>"014920180"</f>
        <v>014920180</v>
      </c>
      <c r="G2524" s="1" t="s">
        <v>3620</v>
      </c>
      <c r="H2524" s="1" t="s">
        <v>290</v>
      </c>
      <c r="I2524" s="3" t="str">
        <f>"15"</f>
        <v>15</v>
      </c>
      <c r="J2524" s="3">
        <v>20.71</v>
      </c>
      <c r="K2524" s="2">
        <v>45598</v>
      </c>
      <c r="L2524" s="2">
        <v>45845</v>
      </c>
      <c r="M2524" s="1" t="s">
        <v>4534</v>
      </c>
      <c r="N2524" s="1" t="s">
        <v>4533</v>
      </c>
    </row>
    <row r="2525" spans="1:14" x14ac:dyDescent="0.35">
      <c r="A2525" s="1" t="s">
        <v>4321</v>
      </c>
      <c r="B2525" s="3" t="s">
        <v>4253</v>
      </c>
      <c r="C2525" s="1" t="s">
        <v>4271</v>
      </c>
      <c r="D2525" s="1" t="s">
        <v>4532</v>
      </c>
      <c r="E2525" s="1" t="str">
        <f>"5855"</f>
        <v>5855</v>
      </c>
      <c r="F2525" s="1" t="str">
        <f>"014748904"</f>
        <v>014748904</v>
      </c>
      <c r="G2525" s="1" t="s">
        <v>1953</v>
      </c>
      <c r="H2525" s="1" t="s">
        <v>15</v>
      </c>
      <c r="I2525" s="3" t="str">
        <f>"5"</f>
        <v>5</v>
      </c>
      <c r="J2525" s="3" t="str">
        <f>"5314"</f>
        <v>5314</v>
      </c>
      <c r="K2525" s="2">
        <v>45839</v>
      </c>
      <c r="L2525" s="2">
        <v>45844</v>
      </c>
      <c r="M2525" s="1" t="s">
        <v>4531</v>
      </c>
      <c r="N2525" s="1" t="s">
        <v>4343</v>
      </c>
    </row>
    <row r="2526" spans="1:14" x14ac:dyDescent="0.35">
      <c r="A2526" s="1" t="s">
        <v>4321</v>
      </c>
      <c r="B2526" s="3" t="s">
        <v>2248</v>
      </c>
      <c r="C2526" s="1" t="s">
        <v>2265</v>
      </c>
      <c r="D2526" s="1" t="s">
        <v>4530</v>
      </c>
      <c r="E2526" s="1" t="str">
        <f>"5855"</f>
        <v>5855</v>
      </c>
      <c r="F2526" s="1" t="str">
        <f>"016576986"</f>
        <v>016576986</v>
      </c>
      <c r="G2526" s="1" t="s">
        <v>2117</v>
      </c>
      <c r="H2526" s="1" t="s">
        <v>15</v>
      </c>
      <c r="I2526" s="3" t="str">
        <f>"1"</f>
        <v>1</v>
      </c>
      <c r="J2526" s="3" t="str">
        <f>"30527"</f>
        <v>30527</v>
      </c>
      <c r="K2526" s="2">
        <v>45838</v>
      </c>
      <c r="L2526" s="2">
        <v>45844</v>
      </c>
      <c r="M2526" s="1" t="s">
        <v>4525</v>
      </c>
      <c r="N2526" s="1" t="s">
        <v>4343</v>
      </c>
    </row>
    <row r="2527" spans="1:14" x14ac:dyDescent="0.35">
      <c r="A2527" s="1" t="s">
        <v>4321</v>
      </c>
      <c r="B2527" s="3" t="s">
        <v>2248</v>
      </c>
      <c r="C2527" s="1" t="s">
        <v>2265</v>
      </c>
      <c r="D2527" s="1" t="s">
        <v>4529</v>
      </c>
      <c r="E2527" s="1" t="str">
        <f>"5855"</f>
        <v>5855</v>
      </c>
      <c r="F2527" s="1" t="str">
        <f>"016576986"</f>
        <v>016576986</v>
      </c>
      <c r="G2527" s="1" t="s">
        <v>2117</v>
      </c>
      <c r="H2527" s="1" t="s">
        <v>15</v>
      </c>
      <c r="I2527" s="3" t="str">
        <f>"1"</f>
        <v>1</v>
      </c>
      <c r="J2527" s="3" t="str">
        <f>"30527"</f>
        <v>30527</v>
      </c>
      <c r="K2527" s="2">
        <v>45838</v>
      </c>
      <c r="L2527" s="2">
        <v>45844</v>
      </c>
      <c r="M2527" s="1" t="s">
        <v>4525</v>
      </c>
      <c r="N2527" s="1" t="s">
        <v>4343</v>
      </c>
    </row>
    <row r="2528" spans="1:14" x14ac:dyDescent="0.35">
      <c r="A2528" s="1" t="s">
        <v>4321</v>
      </c>
      <c r="B2528" s="3" t="s">
        <v>2248</v>
      </c>
      <c r="C2528" s="1" t="s">
        <v>2265</v>
      </c>
      <c r="D2528" s="1" t="s">
        <v>4528</v>
      </c>
      <c r="E2528" s="1" t="str">
        <f>"5855"</f>
        <v>5855</v>
      </c>
      <c r="F2528" s="1" t="str">
        <f>"016576986"</f>
        <v>016576986</v>
      </c>
      <c r="G2528" s="1" t="s">
        <v>2117</v>
      </c>
      <c r="H2528" s="1" t="s">
        <v>15</v>
      </c>
      <c r="I2528" s="3" t="str">
        <f>"1"</f>
        <v>1</v>
      </c>
      <c r="J2528" s="3" t="str">
        <f>"30527"</f>
        <v>30527</v>
      </c>
      <c r="K2528" s="2">
        <v>45838</v>
      </c>
      <c r="L2528" s="2">
        <v>45844</v>
      </c>
      <c r="M2528" s="1" t="s">
        <v>4525</v>
      </c>
      <c r="N2528" s="1" t="s">
        <v>4343</v>
      </c>
    </row>
    <row r="2529" spans="1:14" x14ac:dyDescent="0.35">
      <c r="A2529" s="1" t="s">
        <v>4321</v>
      </c>
      <c r="B2529" s="3" t="s">
        <v>2248</v>
      </c>
      <c r="C2529" s="1" t="s">
        <v>2265</v>
      </c>
      <c r="D2529" s="1" t="s">
        <v>4527</v>
      </c>
      <c r="E2529" s="1" t="str">
        <f>"5855"</f>
        <v>5855</v>
      </c>
      <c r="F2529" s="1" t="str">
        <f>"016576986"</f>
        <v>016576986</v>
      </c>
      <c r="G2529" s="1" t="s">
        <v>2117</v>
      </c>
      <c r="H2529" s="1" t="s">
        <v>15</v>
      </c>
      <c r="I2529" s="3" t="str">
        <f>"1"</f>
        <v>1</v>
      </c>
      <c r="J2529" s="3" t="str">
        <f>"30527"</f>
        <v>30527</v>
      </c>
      <c r="K2529" s="2">
        <v>45838</v>
      </c>
      <c r="L2529" s="2">
        <v>45844</v>
      </c>
      <c r="M2529" s="1" t="s">
        <v>4525</v>
      </c>
      <c r="N2529" s="1" t="s">
        <v>4343</v>
      </c>
    </row>
    <row r="2530" spans="1:14" x14ac:dyDescent="0.35">
      <c r="A2530" s="1" t="s">
        <v>4321</v>
      </c>
      <c r="B2530" s="3" t="s">
        <v>2248</v>
      </c>
      <c r="C2530" s="1" t="s">
        <v>2265</v>
      </c>
      <c r="D2530" s="1" t="s">
        <v>4526</v>
      </c>
      <c r="E2530" s="1" t="str">
        <f>"5855"</f>
        <v>5855</v>
      </c>
      <c r="F2530" s="1" t="str">
        <f>"016576986"</f>
        <v>016576986</v>
      </c>
      <c r="G2530" s="1" t="s">
        <v>2117</v>
      </c>
      <c r="H2530" s="1" t="s">
        <v>15</v>
      </c>
      <c r="I2530" s="3" t="str">
        <f>"1"</f>
        <v>1</v>
      </c>
      <c r="J2530" s="3" t="str">
        <f>"30527"</f>
        <v>30527</v>
      </c>
      <c r="K2530" s="2">
        <v>45838</v>
      </c>
      <c r="L2530" s="2">
        <v>45844</v>
      </c>
      <c r="M2530" s="1" t="s">
        <v>4525</v>
      </c>
      <c r="N2530" s="1" t="s">
        <v>4343</v>
      </c>
    </row>
    <row r="2531" spans="1:14" x14ac:dyDescent="0.35">
      <c r="A2531" s="1" t="s">
        <v>4321</v>
      </c>
      <c r="B2531" s="3" t="s">
        <v>1844</v>
      </c>
      <c r="C2531" s="1" t="s">
        <v>1845</v>
      </c>
      <c r="D2531" s="1" t="s">
        <v>4524</v>
      </c>
      <c r="E2531" s="1" t="str">
        <f>"8470"</f>
        <v>8470</v>
      </c>
      <c r="F2531" s="1" t="str">
        <f>"016924294"</f>
        <v>016924294</v>
      </c>
      <c r="G2531" s="1" t="s">
        <v>4523</v>
      </c>
      <c r="H2531" s="1" t="s">
        <v>15</v>
      </c>
      <c r="I2531" s="3" t="str">
        <f>"1"</f>
        <v>1</v>
      </c>
      <c r="J2531" s="3">
        <v>669.49</v>
      </c>
      <c r="K2531" s="2">
        <v>45837</v>
      </c>
      <c r="L2531" s="2">
        <v>45844</v>
      </c>
      <c r="M2531" s="1" t="s">
        <v>4432</v>
      </c>
      <c r="N2531" s="1" t="s">
        <v>4343</v>
      </c>
    </row>
    <row r="2532" spans="1:14" x14ac:dyDescent="0.35">
      <c r="A2532" s="1" t="s">
        <v>4321</v>
      </c>
      <c r="B2532" s="3" t="s">
        <v>601</v>
      </c>
      <c r="C2532" s="1" t="s">
        <v>641</v>
      </c>
      <c r="D2532" s="1" t="s">
        <v>4522</v>
      </c>
      <c r="E2532" s="1" t="str">
        <f>"1240"</f>
        <v>1240</v>
      </c>
      <c r="F2532" s="1" t="str">
        <f>"016726947"</f>
        <v>016726947</v>
      </c>
      <c r="G2532" s="1" t="s">
        <v>4521</v>
      </c>
      <c r="H2532" s="1" t="s">
        <v>15</v>
      </c>
      <c r="I2532" s="3" t="str">
        <f>"1"</f>
        <v>1</v>
      </c>
      <c r="J2532" s="3" t="str">
        <f>"2820"</f>
        <v>2820</v>
      </c>
      <c r="K2532" s="2">
        <v>45831</v>
      </c>
      <c r="L2532" s="2">
        <v>45844</v>
      </c>
      <c r="M2532" s="1" t="s">
        <v>4520</v>
      </c>
      <c r="N2532" s="1" t="s">
        <v>4343</v>
      </c>
    </row>
    <row r="2533" spans="1:14" x14ac:dyDescent="0.35">
      <c r="A2533" s="1" t="s">
        <v>4321</v>
      </c>
      <c r="B2533" s="3" t="s">
        <v>1445</v>
      </c>
      <c r="C2533" s="1" t="s">
        <v>1459</v>
      </c>
      <c r="D2533" s="1" t="s">
        <v>4519</v>
      </c>
      <c r="E2533" s="1" t="str">
        <f>"6510"</f>
        <v>6510</v>
      </c>
      <c r="F2533" s="1" t="str">
        <f>"015064608"</f>
        <v>015064608</v>
      </c>
      <c r="G2533" s="1" t="s">
        <v>4515</v>
      </c>
      <c r="H2533" s="1" t="s">
        <v>15</v>
      </c>
      <c r="I2533" s="3" t="str">
        <f>"3"</f>
        <v>3</v>
      </c>
      <c r="J2533" s="3">
        <v>19.34</v>
      </c>
      <c r="K2533" s="2">
        <v>45842</v>
      </c>
      <c r="L2533" s="2">
        <v>45843</v>
      </c>
      <c r="M2533" s="1" t="s">
        <v>4514</v>
      </c>
      <c r="N2533" s="1" t="s">
        <v>4343</v>
      </c>
    </row>
    <row r="2534" spans="1:14" x14ac:dyDescent="0.35">
      <c r="A2534" s="1" t="s">
        <v>4321</v>
      </c>
      <c r="B2534" s="3" t="s">
        <v>1445</v>
      </c>
      <c r="C2534" s="1" t="s">
        <v>1459</v>
      </c>
      <c r="D2534" s="1" t="s">
        <v>4518</v>
      </c>
      <c r="E2534" s="1" t="str">
        <f>"6510"</f>
        <v>6510</v>
      </c>
      <c r="F2534" s="1" t="str">
        <f>"015064608"</f>
        <v>015064608</v>
      </c>
      <c r="G2534" s="1" t="s">
        <v>4515</v>
      </c>
      <c r="H2534" s="1" t="s">
        <v>15</v>
      </c>
      <c r="I2534" s="3" t="str">
        <f>"4"</f>
        <v>4</v>
      </c>
      <c r="J2534" s="3">
        <v>19.34</v>
      </c>
      <c r="K2534" s="2">
        <v>45842</v>
      </c>
      <c r="L2534" s="2">
        <v>45843</v>
      </c>
      <c r="M2534" s="1" t="s">
        <v>4514</v>
      </c>
      <c r="N2534" s="1" t="s">
        <v>4343</v>
      </c>
    </row>
    <row r="2535" spans="1:14" x14ac:dyDescent="0.35">
      <c r="A2535" s="1" t="s">
        <v>4321</v>
      </c>
      <c r="B2535" s="3" t="s">
        <v>1445</v>
      </c>
      <c r="C2535" s="1" t="s">
        <v>1459</v>
      </c>
      <c r="D2535" s="1" t="s">
        <v>4517</v>
      </c>
      <c r="E2535" s="1" t="str">
        <f>"6510"</f>
        <v>6510</v>
      </c>
      <c r="F2535" s="1" t="str">
        <f>"015064604"</f>
        <v>015064604</v>
      </c>
      <c r="G2535" s="1" t="s">
        <v>4515</v>
      </c>
      <c r="H2535" s="1" t="s">
        <v>15</v>
      </c>
      <c r="I2535" s="3" t="str">
        <f>"1"</f>
        <v>1</v>
      </c>
      <c r="J2535" s="3">
        <v>9.5299999999999994</v>
      </c>
      <c r="K2535" s="2">
        <v>45842</v>
      </c>
      <c r="L2535" s="2">
        <v>45843</v>
      </c>
      <c r="M2535" s="1" t="s">
        <v>4514</v>
      </c>
      <c r="N2535" s="1" t="s">
        <v>4343</v>
      </c>
    </row>
    <row r="2536" spans="1:14" x14ac:dyDescent="0.35">
      <c r="A2536" s="1" t="s">
        <v>4321</v>
      </c>
      <c r="B2536" s="3" t="s">
        <v>1445</v>
      </c>
      <c r="C2536" s="1" t="s">
        <v>1459</v>
      </c>
      <c r="D2536" s="1" t="s">
        <v>4516</v>
      </c>
      <c r="E2536" s="1" t="str">
        <f>"6510"</f>
        <v>6510</v>
      </c>
      <c r="F2536" s="1" t="str">
        <f>"015064604"</f>
        <v>015064604</v>
      </c>
      <c r="G2536" s="1" t="s">
        <v>4515</v>
      </c>
      <c r="H2536" s="1" t="s">
        <v>15</v>
      </c>
      <c r="I2536" s="3" t="str">
        <f>"9"</f>
        <v>9</v>
      </c>
      <c r="J2536" s="3">
        <v>9.5299999999999994</v>
      </c>
      <c r="K2536" s="2">
        <v>45842</v>
      </c>
      <c r="L2536" s="2">
        <v>45843</v>
      </c>
      <c r="M2536" s="1" t="s">
        <v>4514</v>
      </c>
      <c r="N2536" s="1" t="s">
        <v>4343</v>
      </c>
    </row>
    <row r="2537" spans="1:14" x14ac:dyDescent="0.35">
      <c r="A2537" s="1" t="s">
        <v>4321</v>
      </c>
      <c r="B2537" s="3" t="s">
        <v>2638</v>
      </c>
      <c r="C2537" s="1" t="s">
        <v>2662</v>
      </c>
      <c r="D2537" s="1" t="s">
        <v>4513</v>
      </c>
      <c r="E2537" s="1" t="str">
        <f>"2340"</f>
        <v>2340</v>
      </c>
      <c r="F2537" s="1" t="s">
        <v>694</v>
      </c>
      <c r="G2537" s="1" t="s">
        <v>695</v>
      </c>
      <c r="H2537" s="1" t="s">
        <v>15</v>
      </c>
      <c r="I2537" s="3" t="str">
        <f>"4"</f>
        <v>4</v>
      </c>
      <c r="J2537" s="3" t="str">
        <f>"784"</f>
        <v>784</v>
      </c>
      <c r="K2537" s="2">
        <v>45836</v>
      </c>
      <c r="L2537" s="2">
        <v>45843</v>
      </c>
      <c r="M2537" s="1" t="s">
        <v>4512</v>
      </c>
      <c r="N2537" s="1" t="s">
        <v>4511</v>
      </c>
    </row>
    <row r="2538" spans="1:14" x14ac:dyDescent="0.35">
      <c r="A2538" s="1" t="s">
        <v>4321</v>
      </c>
      <c r="B2538" s="3" t="s">
        <v>2145</v>
      </c>
      <c r="C2538" s="1" t="s">
        <v>2153</v>
      </c>
      <c r="D2538" s="1" t="s">
        <v>4510</v>
      </c>
      <c r="E2538" s="1" t="str">
        <f>"2340"</f>
        <v>2340</v>
      </c>
      <c r="F2538" s="1" t="s">
        <v>694</v>
      </c>
      <c r="G2538" s="1" t="s">
        <v>695</v>
      </c>
      <c r="H2538" s="1" t="s">
        <v>15</v>
      </c>
      <c r="I2538" s="3" t="str">
        <f>"2"</f>
        <v>2</v>
      </c>
      <c r="J2538" s="3" t="str">
        <f>"784"</f>
        <v>784</v>
      </c>
      <c r="K2538" s="2">
        <v>45836</v>
      </c>
      <c r="L2538" s="2">
        <v>45843</v>
      </c>
      <c r="M2538" s="1" t="s">
        <v>4509</v>
      </c>
      <c r="N2538" s="1" t="s">
        <v>4508</v>
      </c>
    </row>
    <row r="2539" spans="1:14" x14ac:dyDescent="0.35">
      <c r="A2539" s="1" t="s">
        <v>4321</v>
      </c>
      <c r="B2539" s="3" t="s">
        <v>93</v>
      </c>
      <c r="C2539" s="1" t="s">
        <v>312</v>
      </c>
      <c r="D2539" s="1" t="s">
        <v>4507</v>
      </c>
      <c r="E2539" s="1" t="str">
        <f>"2340"</f>
        <v>2340</v>
      </c>
      <c r="F2539" s="1" t="s">
        <v>694</v>
      </c>
      <c r="G2539" s="1" t="s">
        <v>695</v>
      </c>
      <c r="H2539" s="1" t="s">
        <v>15</v>
      </c>
      <c r="I2539" s="3" t="str">
        <f>"4"</f>
        <v>4</v>
      </c>
      <c r="J2539" s="3" t="str">
        <f>"784"</f>
        <v>784</v>
      </c>
      <c r="K2539" s="2">
        <v>45836</v>
      </c>
      <c r="L2539" s="2">
        <v>45843</v>
      </c>
      <c r="M2539" s="1" t="s">
        <v>4506</v>
      </c>
      <c r="N2539" s="1" t="s">
        <v>4505</v>
      </c>
    </row>
    <row r="2540" spans="1:14" x14ac:dyDescent="0.35">
      <c r="A2540" s="1" t="s">
        <v>4321</v>
      </c>
      <c r="B2540" s="3" t="s">
        <v>3885</v>
      </c>
      <c r="C2540" s="1" t="s">
        <v>4022</v>
      </c>
      <c r="D2540" s="1" t="s">
        <v>4504</v>
      </c>
      <c r="E2540" s="1" t="str">
        <f>"2340"</f>
        <v>2340</v>
      </c>
      <c r="F2540" s="1" t="s">
        <v>694</v>
      </c>
      <c r="G2540" s="1" t="s">
        <v>695</v>
      </c>
      <c r="H2540" s="1" t="s">
        <v>15</v>
      </c>
      <c r="I2540" s="3" t="str">
        <f>"2"</f>
        <v>2</v>
      </c>
      <c r="J2540" s="3" t="str">
        <f>"784"</f>
        <v>784</v>
      </c>
      <c r="K2540" s="2">
        <v>45836</v>
      </c>
      <c r="L2540" s="2">
        <v>45843</v>
      </c>
      <c r="M2540" s="1" t="s">
        <v>4503</v>
      </c>
      <c r="N2540" s="1" t="s">
        <v>4502</v>
      </c>
    </row>
    <row r="2541" spans="1:14" x14ac:dyDescent="0.35">
      <c r="A2541" s="1" t="s">
        <v>4321</v>
      </c>
      <c r="B2541" s="3" t="s">
        <v>2720</v>
      </c>
      <c r="C2541" s="1" t="s">
        <v>2978</v>
      </c>
      <c r="D2541" s="1" t="s">
        <v>4501</v>
      </c>
      <c r="E2541" s="1" t="str">
        <f>"2340"</f>
        <v>2340</v>
      </c>
      <c r="F2541" s="1" t="s">
        <v>694</v>
      </c>
      <c r="G2541" s="1" t="s">
        <v>695</v>
      </c>
      <c r="H2541" s="1" t="s">
        <v>15</v>
      </c>
      <c r="I2541" s="3" t="str">
        <f>"2"</f>
        <v>2</v>
      </c>
      <c r="J2541" s="3" t="str">
        <f>"784"</f>
        <v>784</v>
      </c>
      <c r="K2541" s="2">
        <v>45836</v>
      </c>
      <c r="L2541" s="2">
        <v>45843</v>
      </c>
      <c r="M2541" s="1" t="s">
        <v>4500</v>
      </c>
      <c r="N2541" s="1" t="s">
        <v>4499</v>
      </c>
    </row>
    <row r="2542" spans="1:14" x14ac:dyDescent="0.35">
      <c r="A2542" s="1" t="s">
        <v>4321</v>
      </c>
      <c r="B2542" s="3" t="s">
        <v>2444</v>
      </c>
      <c r="C2542" s="1" t="s">
        <v>2445</v>
      </c>
      <c r="D2542" s="1" t="s">
        <v>4498</v>
      </c>
      <c r="E2542" s="1" t="str">
        <f>"8415"</f>
        <v>8415</v>
      </c>
      <c r="F2542" s="1" t="s">
        <v>1359</v>
      </c>
      <c r="G2542" s="1" t="s">
        <v>1360</v>
      </c>
      <c r="H2542" s="1" t="s">
        <v>15</v>
      </c>
      <c r="I2542" s="3" t="str">
        <f>"2"</f>
        <v>2</v>
      </c>
      <c r="J2542" s="3">
        <v>51.4</v>
      </c>
      <c r="K2542" s="2">
        <v>45835</v>
      </c>
      <c r="L2542" s="2">
        <v>45843</v>
      </c>
      <c r="M2542" s="1" t="s">
        <v>4495</v>
      </c>
      <c r="N2542" s="1" t="s">
        <v>4497</v>
      </c>
    </row>
    <row r="2543" spans="1:14" x14ac:dyDescent="0.35">
      <c r="A2543" s="1" t="s">
        <v>4321</v>
      </c>
      <c r="B2543" s="3" t="s">
        <v>2444</v>
      </c>
      <c r="C2543" s="1" t="s">
        <v>2445</v>
      </c>
      <c r="D2543" s="1" t="s">
        <v>4496</v>
      </c>
      <c r="E2543" s="1" t="str">
        <f>"8415"</f>
        <v>8415</v>
      </c>
      <c r="F2543" s="1" t="s">
        <v>1359</v>
      </c>
      <c r="G2543" s="1" t="s">
        <v>1360</v>
      </c>
      <c r="H2543" s="1" t="s">
        <v>15</v>
      </c>
      <c r="I2543" s="3" t="str">
        <f>"2"</f>
        <v>2</v>
      </c>
      <c r="J2543" s="3">
        <v>51.4</v>
      </c>
      <c r="K2543" s="2">
        <v>45835</v>
      </c>
      <c r="L2543" s="2">
        <v>45843</v>
      </c>
      <c r="M2543" s="1" t="s">
        <v>4495</v>
      </c>
      <c r="N2543" s="1" t="s">
        <v>4494</v>
      </c>
    </row>
    <row r="2544" spans="1:14" x14ac:dyDescent="0.35">
      <c r="A2544" s="1" t="s">
        <v>4321</v>
      </c>
      <c r="B2544" s="3" t="s">
        <v>1977</v>
      </c>
      <c r="C2544" s="1" t="s">
        <v>4493</v>
      </c>
      <c r="D2544" s="1" t="s">
        <v>4492</v>
      </c>
      <c r="E2544" s="1" t="str">
        <f>"8465"</f>
        <v>8465</v>
      </c>
      <c r="F2544" s="1" t="str">
        <f>"015247635"</f>
        <v>015247635</v>
      </c>
      <c r="G2544" s="1" t="s">
        <v>1618</v>
      </c>
      <c r="H2544" s="1" t="s">
        <v>15</v>
      </c>
      <c r="I2544" s="3" t="str">
        <f>"1"</f>
        <v>1</v>
      </c>
      <c r="J2544" s="3">
        <v>125.86</v>
      </c>
      <c r="K2544" s="2">
        <v>45833</v>
      </c>
      <c r="L2544" s="2">
        <v>45843</v>
      </c>
      <c r="M2544" s="1" t="s">
        <v>4491</v>
      </c>
      <c r="N2544" s="1" t="s">
        <v>4490</v>
      </c>
    </row>
    <row r="2545" spans="1:14" x14ac:dyDescent="0.35">
      <c r="A2545" s="1" t="s">
        <v>4321</v>
      </c>
      <c r="B2545" s="3" t="s">
        <v>3885</v>
      </c>
      <c r="C2545" s="1" t="s">
        <v>3901</v>
      </c>
      <c r="D2545" s="1" t="s">
        <v>4489</v>
      </c>
      <c r="E2545" s="1" t="str">
        <f>"4240"</f>
        <v>4240</v>
      </c>
      <c r="F2545" s="1" t="str">
        <f>"015316792"</f>
        <v>015316792</v>
      </c>
      <c r="G2545" s="1" t="s">
        <v>2508</v>
      </c>
      <c r="H2545" s="1" t="s">
        <v>15</v>
      </c>
      <c r="I2545" s="3" t="str">
        <f>"60"</f>
        <v>60</v>
      </c>
      <c r="J2545" s="3">
        <v>11.88</v>
      </c>
      <c r="K2545" s="2">
        <v>45833</v>
      </c>
      <c r="L2545" s="2">
        <v>45843</v>
      </c>
      <c r="M2545" s="1" t="s">
        <v>4488</v>
      </c>
      <c r="N2545" s="1" t="s">
        <v>4487</v>
      </c>
    </row>
    <row r="2546" spans="1:14" x14ac:dyDescent="0.35">
      <c r="A2546" s="1" t="s">
        <v>4321</v>
      </c>
      <c r="B2546" s="3" t="s">
        <v>2456</v>
      </c>
      <c r="C2546" s="1" t="s">
        <v>2457</v>
      </c>
      <c r="D2546" s="1" t="s">
        <v>4486</v>
      </c>
      <c r="E2546" s="1" t="str">
        <f>"5855"</f>
        <v>5855</v>
      </c>
      <c r="F2546" s="1" t="str">
        <f>"015345931"</f>
        <v>015345931</v>
      </c>
      <c r="G2546" s="1" t="s">
        <v>703</v>
      </c>
      <c r="H2546" s="1" t="s">
        <v>15</v>
      </c>
      <c r="I2546" s="3" t="str">
        <f>"9"</f>
        <v>9</v>
      </c>
      <c r="J2546" s="3" t="str">
        <f>"976"</f>
        <v>976</v>
      </c>
      <c r="K2546" s="2">
        <v>45833</v>
      </c>
      <c r="L2546" s="2">
        <v>45843</v>
      </c>
      <c r="M2546" s="1" t="s">
        <v>4485</v>
      </c>
      <c r="N2546" s="1" t="s">
        <v>4343</v>
      </c>
    </row>
    <row r="2547" spans="1:14" x14ac:dyDescent="0.35">
      <c r="A2547" s="1" t="s">
        <v>4321</v>
      </c>
      <c r="B2547" s="3" t="s">
        <v>2248</v>
      </c>
      <c r="C2547" s="1" t="s">
        <v>2249</v>
      </c>
      <c r="D2547" s="1" t="s">
        <v>4484</v>
      </c>
      <c r="E2547" s="1" t="str">
        <f>"6780"</f>
        <v>6780</v>
      </c>
      <c r="F2547" s="1" t="str">
        <f>"010897759"</f>
        <v>010897759</v>
      </c>
      <c r="G2547" s="1" t="s">
        <v>1583</v>
      </c>
      <c r="H2547" s="1" t="s">
        <v>19</v>
      </c>
      <c r="I2547" s="3" t="str">
        <f>"6"</f>
        <v>6</v>
      </c>
      <c r="J2547" s="3">
        <v>954.03</v>
      </c>
      <c r="K2547" s="2">
        <v>45832</v>
      </c>
      <c r="L2547" s="2">
        <v>45843</v>
      </c>
      <c r="M2547" s="1" t="s">
        <v>4483</v>
      </c>
      <c r="N2547" s="1" t="s">
        <v>4482</v>
      </c>
    </row>
    <row r="2548" spans="1:14" x14ac:dyDescent="0.35">
      <c r="A2548" s="1" t="s">
        <v>4321</v>
      </c>
      <c r="B2548" s="3" t="s">
        <v>2248</v>
      </c>
      <c r="C2548" s="1" t="s">
        <v>2249</v>
      </c>
      <c r="D2548" s="1" t="s">
        <v>4481</v>
      </c>
      <c r="E2548" s="1" t="str">
        <f>"6760"</f>
        <v>6760</v>
      </c>
      <c r="F2548" s="1" t="str">
        <f>"015473803"</f>
        <v>015473803</v>
      </c>
      <c r="G2548" s="1" t="s">
        <v>1576</v>
      </c>
      <c r="H2548" s="1" t="s">
        <v>15</v>
      </c>
      <c r="I2548" s="3" t="str">
        <f>"8"</f>
        <v>8</v>
      </c>
      <c r="J2548" s="3">
        <v>252.18</v>
      </c>
      <c r="K2548" s="2">
        <v>45832</v>
      </c>
      <c r="L2548" s="2">
        <v>45843</v>
      </c>
      <c r="M2548" s="1" t="s">
        <v>4480</v>
      </c>
      <c r="N2548" s="1" t="s">
        <v>4479</v>
      </c>
    </row>
    <row r="2549" spans="1:14" x14ac:dyDescent="0.35">
      <c r="A2549" s="1" t="s">
        <v>4321</v>
      </c>
      <c r="B2549" s="3" t="s">
        <v>691</v>
      </c>
      <c r="C2549" s="1" t="s">
        <v>701</v>
      </c>
      <c r="D2549" s="1" t="s">
        <v>4478</v>
      </c>
      <c r="E2549" s="1" t="str">
        <f>"2360"</f>
        <v>2360</v>
      </c>
      <c r="F2549" s="1" t="str">
        <f>"016651461"</f>
        <v>016651461</v>
      </c>
      <c r="G2549" s="1" t="s">
        <v>14</v>
      </c>
      <c r="H2549" s="1" t="s">
        <v>15</v>
      </c>
      <c r="I2549" s="3" t="str">
        <f>"2"</f>
        <v>2</v>
      </c>
      <c r="J2549" s="3" t="str">
        <f>"53700"</f>
        <v>53700</v>
      </c>
      <c r="K2549" s="2">
        <v>45832</v>
      </c>
      <c r="L2549" s="2">
        <v>45843</v>
      </c>
      <c r="M2549" s="1" t="s">
        <v>4477</v>
      </c>
      <c r="N2549" s="1" t="s">
        <v>4343</v>
      </c>
    </row>
    <row r="2550" spans="1:14" x14ac:dyDescent="0.35">
      <c r="A2550" s="1" t="s">
        <v>4321</v>
      </c>
      <c r="B2550" s="3" t="s">
        <v>691</v>
      </c>
      <c r="C2550" s="1" t="s">
        <v>701</v>
      </c>
      <c r="D2550" s="1" t="s">
        <v>4476</v>
      </c>
      <c r="E2550" s="1" t="str">
        <f>"2360"</f>
        <v>2360</v>
      </c>
      <c r="F2550" s="1" t="str">
        <f>"016651491"</f>
        <v>016651491</v>
      </c>
      <c r="G2550" s="1" t="s">
        <v>14</v>
      </c>
      <c r="H2550" s="1" t="s">
        <v>15</v>
      </c>
      <c r="I2550" s="3" t="str">
        <f>"4"</f>
        <v>4</v>
      </c>
      <c r="J2550" s="3" t="str">
        <f>"17125"</f>
        <v>17125</v>
      </c>
      <c r="K2550" s="2">
        <v>45832</v>
      </c>
      <c r="L2550" s="2">
        <v>45843</v>
      </c>
      <c r="M2550" s="1" t="s">
        <v>4475</v>
      </c>
      <c r="N2550" s="1" t="s">
        <v>4343</v>
      </c>
    </row>
    <row r="2551" spans="1:14" x14ac:dyDescent="0.35">
      <c r="A2551" s="1" t="s">
        <v>4321</v>
      </c>
      <c r="B2551" s="3" t="s">
        <v>3885</v>
      </c>
      <c r="C2551" s="1" t="s">
        <v>4469</v>
      </c>
      <c r="D2551" s="1" t="s">
        <v>4474</v>
      </c>
      <c r="E2551" s="1" t="str">
        <f>"5855"</f>
        <v>5855</v>
      </c>
      <c r="F2551" s="1" t="str">
        <f>"015345931"</f>
        <v>015345931</v>
      </c>
      <c r="G2551" s="1" t="s">
        <v>703</v>
      </c>
      <c r="H2551" s="1" t="s">
        <v>15</v>
      </c>
      <c r="I2551" s="3" t="str">
        <f>"80"</f>
        <v>80</v>
      </c>
      <c r="J2551" s="3" t="str">
        <f>"976"</f>
        <v>976</v>
      </c>
      <c r="K2551" s="2">
        <v>45832</v>
      </c>
      <c r="L2551" s="2">
        <v>45843</v>
      </c>
      <c r="M2551" s="1" t="s">
        <v>4473</v>
      </c>
      <c r="N2551" s="1" t="s">
        <v>4343</v>
      </c>
    </row>
    <row r="2552" spans="1:14" x14ac:dyDescent="0.35">
      <c r="A2552" s="1" t="s">
        <v>4321</v>
      </c>
      <c r="B2552" s="3" t="s">
        <v>2987</v>
      </c>
      <c r="C2552" s="1" t="s">
        <v>2991</v>
      </c>
      <c r="D2552" s="1" t="s">
        <v>4472</v>
      </c>
      <c r="E2552" s="1" t="str">
        <f>"8465"</f>
        <v>8465</v>
      </c>
      <c r="F2552" s="1" t="str">
        <f>"015800981"</f>
        <v>015800981</v>
      </c>
      <c r="G2552" s="1" t="s">
        <v>921</v>
      </c>
      <c r="H2552" s="1" t="s">
        <v>15</v>
      </c>
      <c r="I2552" s="3" t="str">
        <f>"7"</f>
        <v>7</v>
      </c>
      <c r="J2552" s="3">
        <v>78.14</v>
      </c>
      <c r="K2552" s="2">
        <v>45831</v>
      </c>
      <c r="L2552" s="2">
        <v>45843</v>
      </c>
      <c r="M2552" s="1" t="s">
        <v>4471</v>
      </c>
      <c r="N2552" s="1" t="s">
        <v>4470</v>
      </c>
    </row>
    <row r="2553" spans="1:14" x14ac:dyDescent="0.35">
      <c r="A2553" s="1" t="s">
        <v>4321</v>
      </c>
      <c r="B2553" s="3" t="s">
        <v>3885</v>
      </c>
      <c r="C2553" s="1" t="s">
        <v>4469</v>
      </c>
      <c r="D2553" s="1" t="s">
        <v>4468</v>
      </c>
      <c r="E2553" s="1" t="str">
        <f>"2360"</f>
        <v>2360</v>
      </c>
      <c r="F2553" s="1" t="str">
        <f>"016651491"</f>
        <v>016651491</v>
      </c>
      <c r="G2553" s="1" t="s">
        <v>14</v>
      </c>
      <c r="H2553" s="1" t="s">
        <v>15</v>
      </c>
      <c r="I2553" s="3" t="str">
        <f>"10"</f>
        <v>10</v>
      </c>
      <c r="J2553" s="3" t="str">
        <f>"17125"</f>
        <v>17125</v>
      </c>
      <c r="K2553" s="2">
        <v>45831</v>
      </c>
      <c r="L2553" s="2">
        <v>45843</v>
      </c>
      <c r="M2553" s="1" t="s">
        <v>4467</v>
      </c>
      <c r="N2553" s="1" t="s">
        <v>4343</v>
      </c>
    </row>
    <row r="2554" spans="1:14" x14ac:dyDescent="0.35">
      <c r="A2554" s="1" t="s">
        <v>4321</v>
      </c>
      <c r="B2554" s="3" t="s">
        <v>2248</v>
      </c>
      <c r="C2554" s="1" t="s">
        <v>2275</v>
      </c>
      <c r="D2554" s="1" t="s">
        <v>4466</v>
      </c>
      <c r="E2554" s="1" t="str">
        <f>"6515"</f>
        <v>6515</v>
      </c>
      <c r="F2554" s="1" t="str">
        <f>"015217976"</f>
        <v>015217976</v>
      </c>
      <c r="G2554" s="1" t="s">
        <v>2343</v>
      </c>
      <c r="H2554" s="1" t="s">
        <v>15</v>
      </c>
      <c r="I2554" s="3" t="str">
        <f>"53"</f>
        <v>53</v>
      </c>
      <c r="J2554" s="3">
        <v>40.340000000000003</v>
      </c>
      <c r="K2554" s="2">
        <v>45831</v>
      </c>
      <c r="L2554" s="2">
        <v>45843</v>
      </c>
      <c r="M2554" s="1" t="s">
        <v>4465</v>
      </c>
      <c r="N2554" s="1" t="s">
        <v>4464</v>
      </c>
    </row>
    <row r="2555" spans="1:14" x14ac:dyDescent="0.35">
      <c r="A2555" s="1" t="s">
        <v>4321</v>
      </c>
      <c r="B2555" s="3" t="s">
        <v>93</v>
      </c>
      <c r="C2555" s="1" t="s">
        <v>369</v>
      </c>
      <c r="D2555" s="1" t="s">
        <v>4463</v>
      </c>
      <c r="E2555" s="1" t="str">
        <f>"5411"</f>
        <v>5411</v>
      </c>
      <c r="F2555" s="1" t="str">
        <f>"013046121"</f>
        <v>013046121</v>
      </c>
      <c r="G2555" s="1" t="s">
        <v>1453</v>
      </c>
      <c r="H2555" s="1" t="s">
        <v>15</v>
      </c>
      <c r="I2555" s="3" t="str">
        <f>"1"</f>
        <v>1</v>
      </c>
      <c r="J2555" s="3" t="str">
        <f>"81330"</f>
        <v>81330</v>
      </c>
      <c r="K2555" s="2">
        <v>45831</v>
      </c>
      <c r="L2555" s="2">
        <v>45843</v>
      </c>
      <c r="M2555" s="1" t="s">
        <v>4462</v>
      </c>
      <c r="N2555" s="1" t="s">
        <v>4461</v>
      </c>
    </row>
    <row r="2556" spans="1:14" x14ac:dyDescent="0.35">
      <c r="A2556" s="1" t="s">
        <v>4321</v>
      </c>
      <c r="B2556" s="3" t="s">
        <v>93</v>
      </c>
      <c r="C2556" s="1" t="s">
        <v>369</v>
      </c>
      <c r="D2556" s="1" t="s">
        <v>4460</v>
      </c>
      <c r="E2556" s="1" t="str">
        <f>"2320"</f>
        <v>2320</v>
      </c>
      <c r="F2556" s="1" t="s">
        <v>321</v>
      </c>
      <c r="G2556" s="1" t="s">
        <v>322</v>
      </c>
      <c r="H2556" s="1" t="s">
        <v>15</v>
      </c>
      <c r="I2556" s="3" t="str">
        <f>"1"</f>
        <v>1</v>
      </c>
      <c r="J2556" s="3" t="str">
        <f>"68238"</f>
        <v>68238</v>
      </c>
      <c r="K2556" s="2">
        <v>45831</v>
      </c>
      <c r="L2556" s="2">
        <v>45843</v>
      </c>
      <c r="M2556" s="1" t="s">
        <v>4459</v>
      </c>
      <c r="N2556" s="1" t="s">
        <v>4343</v>
      </c>
    </row>
    <row r="2557" spans="1:14" x14ac:dyDescent="0.35">
      <c r="A2557" s="1" t="s">
        <v>4321</v>
      </c>
      <c r="B2557" s="3" t="s">
        <v>93</v>
      </c>
      <c r="C2557" s="1" t="s">
        <v>369</v>
      </c>
      <c r="D2557" s="1" t="s">
        <v>4458</v>
      </c>
      <c r="E2557" s="1" t="str">
        <f>"2420"</f>
        <v>2420</v>
      </c>
      <c r="F2557" s="1" t="s">
        <v>405</v>
      </c>
      <c r="G2557" s="1" t="s">
        <v>406</v>
      </c>
      <c r="H2557" s="1" t="s">
        <v>15</v>
      </c>
      <c r="I2557" s="3" t="str">
        <f>"1"</f>
        <v>1</v>
      </c>
      <c r="J2557" s="3" t="str">
        <f>"40591"</f>
        <v>40591</v>
      </c>
      <c r="K2557" s="2">
        <v>45831</v>
      </c>
      <c r="L2557" s="2">
        <v>45843</v>
      </c>
      <c r="M2557" s="1" t="s">
        <v>4457</v>
      </c>
      <c r="N2557" s="1" t="s">
        <v>4343</v>
      </c>
    </row>
    <row r="2558" spans="1:14" x14ac:dyDescent="0.35">
      <c r="A2558" s="1" t="s">
        <v>4321</v>
      </c>
      <c r="B2558" s="3" t="s">
        <v>2720</v>
      </c>
      <c r="C2558" s="1" t="s">
        <v>2828</v>
      </c>
      <c r="D2558" s="1" t="s">
        <v>4456</v>
      </c>
      <c r="E2558" s="1" t="str">
        <f>"2320"</f>
        <v>2320</v>
      </c>
      <c r="F2558" s="1" t="s">
        <v>274</v>
      </c>
      <c r="G2558" s="1" t="s">
        <v>275</v>
      </c>
      <c r="H2558" s="1" t="s">
        <v>15</v>
      </c>
      <c r="I2558" s="3" t="str">
        <f>"1"</f>
        <v>1</v>
      </c>
      <c r="J2558" s="3" t="str">
        <f>"35000"</f>
        <v>35000</v>
      </c>
      <c r="K2558" s="2">
        <v>45831</v>
      </c>
      <c r="L2558" s="2">
        <v>45843</v>
      </c>
      <c r="M2558" s="1" t="s">
        <v>4455</v>
      </c>
      <c r="N2558" s="1" t="s">
        <v>4454</v>
      </c>
    </row>
    <row r="2559" spans="1:14" x14ac:dyDescent="0.35">
      <c r="A2559" s="1" t="s">
        <v>4321</v>
      </c>
      <c r="B2559" s="3" t="s">
        <v>2145</v>
      </c>
      <c r="C2559" s="1" t="s">
        <v>2237</v>
      </c>
      <c r="D2559" s="1" t="s">
        <v>4453</v>
      </c>
      <c r="E2559" s="1" t="str">
        <f>"2320"</f>
        <v>2320</v>
      </c>
      <c r="F2559" s="1" t="s">
        <v>274</v>
      </c>
      <c r="G2559" s="1" t="s">
        <v>275</v>
      </c>
      <c r="H2559" s="1" t="s">
        <v>15</v>
      </c>
      <c r="I2559" s="3" t="str">
        <f>"1"</f>
        <v>1</v>
      </c>
      <c r="J2559" s="3" t="str">
        <f>"35000"</f>
        <v>35000</v>
      </c>
      <c r="K2559" s="2">
        <v>45831</v>
      </c>
      <c r="L2559" s="2">
        <v>45843</v>
      </c>
      <c r="M2559" s="1" t="s">
        <v>4452</v>
      </c>
      <c r="N2559" s="1" t="s">
        <v>4451</v>
      </c>
    </row>
    <row r="2560" spans="1:14" x14ac:dyDescent="0.35">
      <c r="A2560" s="1" t="s">
        <v>4321</v>
      </c>
      <c r="B2560" s="3" t="s">
        <v>1699</v>
      </c>
      <c r="C2560" s="1" t="s">
        <v>1818</v>
      </c>
      <c r="D2560" s="1" t="s">
        <v>4450</v>
      </c>
      <c r="E2560" s="1" t="str">
        <f>"2420"</f>
        <v>2420</v>
      </c>
      <c r="F2560" s="1" t="s">
        <v>405</v>
      </c>
      <c r="G2560" s="1" t="s">
        <v>406</v>
      </c>
      <c r="H2560" s="1" t="s">
        <v>15</v>
      </c>
      <c r="I2560" s="3" t="str">
        <f>"1"</f>
        <v>1</v>
      </c>
      <c r="J2560" s="3" t="str">
        <f>"40591"</f>
        <v>40591</v>
      </c>
      <c r="K2560" s="2">
        <v>45831</v>
      </c>
      <c r="L2560" s="2">
        <v>45843</v>
      </c>
      <c r="M2560" s="1" t="s">
        <v>4449</v>
      </c>
      <c r="N2560" s="1" t="s">
        <v>4448</v>
      </c>
    </row>
    <row r="2561" spans="1:14" x14ac:dyDescent="0.35">
      <c r="A2561" s="1" t="s">
        <v>4321</v>
      </c>
      <c r="B2561" s="3" t="s">
        <v>3183</v>
      </c>
      <c r="C2561" s="1" t="s">
        <v>3184</v>
      </c>
      <c r="D2561" s="1" t="s">
        <v>4447</v>
      </c>
      <c r="E2561" s="1" t="str">
        <f>"2320"</f>
        <v>2320</v>
      </c>
      <c r="F2561" s="1" t="s">
        <v>274</v>
      </c>
      <c r="G2561" s="1" t="s">
        <v>275</v>
      </c>
      <c r="H2561" s="1" t="s">
        <v>15</v>
      </c>
      <c r="I2561" s="3" t="str">
        <f>"1"</f>
        <v>1</v>
      </c>
      <c r="J2561" s="3" t="str">
        <f>"35000"</f>
        <v>35000</v>
      </c>
      <c r="K2561" s="2">
        <v>45830</v>
      </c>
      <c r="L2561" s="2">
        <v>45843</v>
      </c>
      <c r="M2561" s="1" t="s">
        <v>4446</v>
      </c>
      <c r="N2561" s="1" t="s">
        <v>4445</v>
      </c>
    </row>
    <row r="2562" spans="1:14" x14ac:dyDescent="0.35">
      <c r="A2562" s="1" t="s">
        <v>4321</v>
      </c>
      <c r="B2562" s="3" t="s">
        <v>3513</v>
      </c>
      <c r="C2562" s="1" t="s">
        <v>3801</v>
      </c>
      <c r="D2562" s="1" t="s">
        <v>4444</v>
      </c>
      <c r="E2562" s="1" t="str">
        <f>"2320"</f>
        <v>2320</v>
      </c>
      <c r="F2562" s="1" t="str">
        <f>"014474938"</f>
        <v>014474938</v>
      </c>
      <c r="G2562" s="1" t="s">
        <v>117</v>
      </c>
      <c r="H2562" s="1" t="s">
        <v>15</v>
      </c>
      <c r="I2562" s="3" t="str">
        <f>"1"</f>
        <v>1</v>
      </c>
      <c r="J2562" s="3" t="str">
        <f>"230363"</f>
        <v>230363</v>
      </c>
      <c r="K2562" s="2">
        <v>45830</v>
      </c>
      <c r="L2562" s="2">
        <v>45843</v>
      </c>
      <c r="M2562" s="1" t="s">
        <v>4443</v>
      </c>
      <c r="N2562" s="1" t="s">
        <v>4442</v>
      </c>
    </row>
    <row r="2563" spans="1:14" x14ac:dyDescent="0.35">
      <c r="A2563" s="1" t="s">
        <v>4321</v>
      </c>
      <c r="B2563" s="3" t="s">
        <v>93</v>
      </c>
      <c r="C2563" s="1" t="s">
        <v>319</v>
      </c>
      <c r="D2563" s="1" t="s">
        <v>4441</v>
      </c>
      <c r="E2563" s="1" t="str">
        <f>"3895"</f>
        <v>3895</v>
      </c>
      <c r="F2563" s="1" t="s">
        <v>396</v>
      </c>
      <c r="G2563" s="1" t="s">
        <v>397</v>
      </c>
      <c r="H2563" s="1" t="s">
        <v>15</v>
      </c>
      <c r="I2563" s="3" t="str">
        <f>"1"</f>
        <v>1</v>
      </c>
      <c r="J2563" s="3" t="str">
        <f>"76995"</f>
        <v>76995</v>
      </c>
      <c r="K2563" s="2">
        <v>45841</v>
      </c>
      <c r="L2563" s="2">
        <v>45842</v>
      </c>
      <c r="M2563" s="1" t="s">
        <v>4440</v>
      </c>
      <c r="N2563" s="1" t="s">
        <v>4343</v>
      </c>
    </row>
    <row r="2564" spans="1:14" x14ac:dyDescent="0.35">
      <c r="A2564" s="1" t="s">
        <v>4321</v>
      </c>
      <c r="B2564" s="3" t="s">
        <v>3885</v>
      </c>
      <c r="C2564" s="1" t="s">
        <v>4439</v>
      </c>
      <c r="D2564" s="1" t="s">
        <v>4438</v>
      </c>
      <c r="E2564" s="1" t="str">
        <f>"5855"</f>
        <v>5855</v>
      </c>
      <c r="F2564" s="1" t="str">
        <f>"016632561"</f>
        <v>016632561</v>
      </c>
      <c r="G2564" s="1" t="s">
        <v>4437</v>
      </c>
      <c r="H2564" s="1" t="s">
        <v>15</v>
      </c>
      <c r="I2564" s="3" t="str">
        <f>"1"</f>
        <v>1</v>
      </c>
      <c r="J2564" s="3" t="str">
        <f>"3500"</f>
        <v>3500</v>
      </c>
      <c r="K2564" s="2">
        <v>45840</v>
      </c>
      <c r="L2564" s="2">
        <v>45842</v>
      </c>
      <c r="M2564" s="1" t="s">
        <v>4436</v>
      </c>
      <c r="N2564" s="1" t="s">
        <v>4435</v>
      </c>
    </row>
    <row r="2565" spans="1:14" x14ac:dyDescent="0.35">
      <c r="A2565" s="1" t="s">
        <v>4321</v>
      </c>
      <c r="B2565" s="3" t="s">
        <v>1844</v>
      </c>
      <c r="C2565" s="1" t="s">
        <v>1845</v>
      </c>
      <c r="D2565" s="1" t="s">
        <v>4434</v>
      </c>
      <c r="E2565" s="1" t="str">
        <f>"8470"</f>
        <v>8470</v>
      </c>
      <c r="F2565" s="1" t="str">
        <f>"016953641"</f>
        <v>016953641</v>
      </c>
      <c r="G2565" s="1" t="s">
        <v>4433</v>
      </c>
      <c r="H2565" s="1" t="s">
        <v>15</v>
      </c>
      <c r="I2565" s="3" t="str">
        <f>"1"</f>
        <v>1</v>
      </c>
      <c r="J2565" s="3">
        <v>631.70000000000005</v>
      </c>
      <c r="K2565" s="2">
        <v>45837</v>
      </c>
      <c r="L2565" s="2">
        <v>45842</v>
      </c>
      <c r="M2565" s="1" t="s">
        <v>4432</v>
      </c>
      <c r="N2565" s="1" t="s">
        <v>4343</v>
      </c>
    </row>
    <row r="2566" spans="1:14" x14ac:dyDescent="0.35">
      <c r="A2566" s="1" t="s">
        <v>4321</v>
      </c>
      <c r="B2566" s="3" t="s">
        <v>2248</v>
      </c>
      <c r="C2566" s="1" t="s">
        <v>2275</v>
      </c>
      <c r="D2566" s="1" t="s">
        <v>4431</v>
      </c>
      <c r="E2566" s="1" t="str">
        <f>"4240"</f>
        <v>4240</v>
      </c>
      <c r="F2566" s="1" t="str">
        <f>"015700319"</f>
        <v>015700319</v>
      </c>
      <c r="G2566" s="1" t="s">
        <v>830</v>
      </c>
      <c r="H2566" s="1" t="s">
        <v>15</v>
      </c>
      <c r="I2566" s="3" t="str">
        <f>"52"</f>
        <v>52</v>
      </c>
      <c r="J2566" s="3">
        <v>39.07</v>
      </c>
      <c r="K2566" s="2">
        <v>45831</v>
      </c>
      <c r="L2566" s="2">
        <v>45842</v>
      </c>
      <c r="M2566" s="1" t="s">
        <v>4430</v>
      </c>
      <c r="N2566" s="1" t="s">
        <v>4429</v>
      </c>
    </row>
    <row r="2567" spans="1:14" x14ac:dyDescent="0.35">
      <c r="A2567" s="1" t="s">
        <v>4321</v>
      </c>
      <c r="B2567" s="3" t="s">
        <v>3513</v>
      </c>
      <c r="C2567" s="1" t="s">
        <v>4428</v>
      </c>
      <c r="D2567" s="1" t="s">
        <v>4427</v>
      </c>
      <c r="E2567" s="1" t="str">
        <f>"7830"</f>
        <v>7830</v>
      </c>
      <c r="F2567" s="1" t="s">
        <v>89</v>
      </c>
      <c r="G2567" s="1" t="s">
        <v>90</v>
      </c>
      <c r="H2567" s="1" t="s">
        <v>15</v>
      </c>
      <c r="I2567" s="3" t="str">
        <f>"1"</f>
        <v>1</v>
      </c>
      <c r="J2567" s="3" t="str">
        <f>"5400"</f>
        <v>5400</v>
      </c>
      <c r="K2567" s="2">
        <v>45838</v>
      </c>
      <c r="L2567" s="2">
        <v>45841</v>
      </c>
      <c r="M2567" s="1" t="s">
        <v>4426</v>
      </c>
      <c r="N2567" s="1" t="s">
        <v>4425</v>
      </c>
    </row>
    <row r="2568" spans="1:14" x14ac:dyDescent="0.35">
      <c r="A2568" s="1" t="s">
        <v>4321</v>
      </c>
      <c r="B2568" s="3" t="s">
        <v>3513</v>
      </c>
      <c r="C2568" s="1" t="s">
        <v>3514</v>
      </c>
      <c r="D2568" s="1" t="s">
        <v>4424</v>
      </c>
      <c r="E2568" s="1" t="str">
        <f>"7110"</f>
        <v>7110</v>
      </c>
      <c r="F2568" s="1" t="s">
        <v>1778</v>
      </c>
      <c r="G2568" s="1" t="s">
        <v>1779</v>
      </c>
      <c r="H2568" s="1" t="s">
        <v>15</v>
      </c>
      <c r="I2568" s="3" t="str">
        <f>"2"</f>
        <v>2</v>
      </c>
      <c r="J2568" s="3" t="str">
        <f>"350"</f>
        <v>350</v>
      </c>
      <c r="K2568" s="2">
        <v>45836</v>
      </c>
      <c r="L2568" s="2">
        <v>45841</v>
      </c>
      <c r="M2568" s="1" t="s">
        <v>4423</v>
      </c>
      <c r="N2568" s="1" t="s">
        <v>4422</v>
      </c>
    </row>
    <row r="2569" spans="1:14" x14ac:dyDescent="0.35">
      <c r="A2569" s="1" t="s">
        <v>4321</v>
      </c>
      <c r="B2569" s="3" t="s">
        <v>3513</v>
      </c>
      <c r="C2569" s="1" t="s">
        <v>3514</v>
      </c>
      <c r="D2569" s="1" t="s">
        <v>4421</v>
      </c>
      <c r="E2569" s="1" t="str">
        <f>"7110"</f>
        <v>7110</v>
      </c>
      <c r="F2569" s="1" t="s">
        <v>4420</v>
      </c>
      <c r="G2569" s="1" t="s">
        <v>4419</v>
      </c>
      <c r="H2569" s="1" t="s">
        <v>15</v>
      </c>
      <c r="I2569" s="3" t="str">
        <f>"2"</f>
        <v>2</v>
      </c>
      <c r="J2569" s="3" t="str">
        <f>"150"</f>
        <v>150</v>
      </c>
      <c r="K2569" s="2">
        <v>45836</v>
      </c>
      <c r="L2569" s="2">
        <v>45841</v>
      </c>
      <c r="M2569" s="1" t="s">
        <v>4418</v>
      </c>
      <c r="N2569" s="1" t="s">
        <v>4417</v>
      </c>
    </row>
    <row r="2570" spans="1:14" x14ac:dyDescent="0.35">
      <c r="A2570" s="1" t="s">
        <v>4321</v>
      </c>
      <c r="B2570" s="3" t="s">
        <v>93</v>
      </c>
      <c r="C2570" s="1" t="s">
        <v>4416</v>
      </c>
      <c r="D2570" s="1" t="s">
        <v>4415</v>
      </c>
      <c r="E2570" s="1" t="str">
        <f>"2310"</f>
        <v>2310</v>
      </c>
      <c r="F2570" s="1" t="s">
        <v>413</v>
      </c>
      <c r="G2570" s="1" t="s">
        <v>414</v>
      </c>
      <c r="H2570" s="1" t="s">
        <v>15</v>
      </c>
      <c r="I2570" s="3" t="str">
        <f>"1"</f>
        <v>1</v>
      </c>
      <c r="J2570" s="3">
        <v>12553.95</v>
      </c>
      <c r="K2570" s="2">
        <v>45836</v>
      </c>
      <c r="L2570" s="2">
        <v>45841</v>
      </c>
      <c r="M2570" s="1" t="s">
        <v>4414</v>
      </c>
      <c r="N2570" s="1" t="s">
        <v>4413</v>
      </c>
    </row>
    <row r="2571" spans="1:14" x14ac:dyDescent="0.35">
      <c r="A2571" s="1" t="s">
        <v>4321</v>
      </c>
      <c r="B2571" s="3" t="s">
        <v>2145</v>
      </c>
      <c r="C2571" s="1" t="s">
        <v>2153</v>
      </c>
      <c r="D2571" s="1" t="s">
        <v>4412</v>
      </c>
      <c r="E2571" s="1" t="str">
        <f>"2310"</f>
        <v>2310</v>
      </c>
      <c r="F2571" s="1" t="s">
        <v>413</v>
      </c>
      <c r="G2571" s="1" t="s">
        <v>414</v>
      </c>
      <c r="H2571" s="1" t="s">
        <v>15</v>
      </c>
      <c r="I2571" s="3" t="str">
        <f>"1"</f>
        <v>1</v>
      </c>
      <c r="J2571" s="3">
        <v>12553.95</v>
      </c>
      <c r="K2571" s="2">
        <v>45836</v>
      </c>
      <c r="L2571" s="2">
        <v>45841</v>
      </c>
      <c r="M2571" s="1" t="s">
        <v>4411</v>
      </c>
      <c r="N2571" s="1" t="s">
        <v>4410</v>
      </c>
    </row>
    <row r="2572" spans="1:14" x14ac:dyDescent="0.35">
      <c r="A2572" s="1" t="s">
        <v>4321</v>
      </c>
      <c r="B2572" s="3" t="s">
        <v>3513</v>
      </c>
      <c r="C2572" s="1" t="s">
        <v>3874</v>
      </c>
      <c r="D2572" s="1" t="s">
        <v>4409</v>
      </c>
      <c r="E2572" s="1" t="str">
        <f>"2310"</f>
        <v>2310</v>
      </c>
      <c r="F2572" s="1" t="s">
        <v>413</v>
      </c>
      <c r="G2572" s="1" t="s">
        <v>414</v>
      </c>
      <c r="H2572" s="1" t="s">
        <v>15</v>
      </c>
      <c r="I2572" s="3" t="str">
        <f>"1"</f>
        <v>1</v>
      </c>
      <c r="J2572" s="3">
        <v>12553.95</v>
      </c>
      <c r="K2572" s="2">
        <v>45836</v>
      </c>
      <c r="L2572" s="2">
        <v>45841</v>
      </c>
      <c r="M2572" s="1" t="s">
        <v>4408</v>
      </c>
      <c r="N2572" s="1" t="s">
        <v>4407</v>
      </c>
    </row>
    <row r="2573" spans="1:14" x14ac:dyDescent="0.35">
      <c r="A2573" s="1" t="s">
        <v>4321</v>
      </c>
      <c r="B2573" s="3" t="s">
        <v>806</v>
      </c>
      <c r="C2573" s="1" t="s">
        <v>870</v>
      </c>
      <c r="D2573" s="1" t="s">
        <v>4406</v>
      </c>
      <c r="E2573" s="1" t="str">
        <f>"2340"</f>
        <v>2340</v>
      </c>
      <c r="F2573" s="1" t="s">
        <v>2003</v>
      </c>
      <c r="G2573" s="1" t="s">
        <v>2004</v>
      </c>
      <c r="H2573" s="1" t="s">
        <v>15</v>
      </c>
      <c r="I2573" s="3" t="str">
        <f>"3"</f>
        <v>3</v>
      </c>
      <c r="J2573" s="3" t="str">
        <f>"6000"</f>
        <v>6000</v>
      </c>
      <c r="K2573" s="2">
        <v>45817</v>
      </c>
      <c r="L2573" s="2">
        <v>45841</v>
      </c>
      <c r="M2573" s="1" t="s">
        <v>4405</v>
      </c>
      <c r="N2573" s="1" t="s">
        <v>4404</v>
      </c>
    </row>
    <row r="2574" spans="1:14" x14ac:dyDescent="0.35">
      <c r="A2574" s="1" t="s">
        <v>4321</v>
      </c>
      <c r="B2574" s="3" t="s">
        <v>1317</v>
      </c>
      <c r="C2574" s="1" t="s">
        <v>1318</v>
      </c>
      <c r="D2574" s="1" t="s">
        <v>4403</v>
      </c>
      <c r="E2574" s="1" t="str">
        <f>"6530"</f>
        <v>6530</v>
      </c>
      <c r="F2574" s="1" t="str">
        <f>"013807309"</f>
        <v>013807309</v>
      </c>
      <c r="G2574" s="1" t="s">
        <v>1418</v>
      </c>
      <c r="H2574" s="1" t="s">
        <v>15</v>
      </c>
      <c r="I2574" s="3" t="str">
        <f>"8"</f>
        <v>8</v>
      </c>
      <c r="J2574" s="3">
        <v>655.48</v>
      </c>
      <c r="K2574" s="2">
        <v>45816</v>
      </c>
      <c r="L2574" s="2">
        <v>45841</v>
      </c>
      <c r="M2574" s="1" t="s">
        <v>4402</v>
      </c>
      <c r="N2574" s="1" t="s">
        <v>4401</v>
      </c>
    </row>
    <row r="2575" spans="1:14" x14ac:dyDescent="0.35">
      <c r="A2575" s="1" t="s">
        <v>4321</v>
      </c>
      <c r="B2575" s="3" t="s">
        <v>3885</v>
      </c>
      <c r="C2575" s="1" t="s">
        <v>4022</v>
      </c>
      <c r="D2575" s="1" t="s">
        <v>4400</v>
      </c>
      <c r="E2575" s="1" t="str">
        <f>"3805"</f>
        <v>3805</v>
      </c>
      <c r="F2575" s="1" t="str">
        <f>"010529043"</f>
        <v>010529043</v>
      </c>
      <c r="G2575" s="1" t="s">
        <v>587</v>
      </c>
      <c r="H2575" s="1" t="s">
        <v>15</v>
      </c>
      <c r="I2575" s="3" t="str">
        <f>"1"</f>
        <v>1</v>
      </c>
      <c r="J2575" s="3" t="str">
        <f>"75450"</f>
        <v>75450</v>
      </c>
      <c r="K2575" s="2">
        <v>45815</v>
      </c>
      <c r="L2575" s="2">
        <v>45841</v>
      </c>
      <c r="M2575" s="1" t="s">
        <v>4399</v>
      </c>
      <c r="N2575" s="1" t="s">
        <v>4398</v>
      </c>
    </row>
    <row r="2576" spans="1:14" x14ac:dyDescent="0.35">
      <c r="A2576" s="1" t="s">
        <v>4321</v>
      </c>
      <c r="B2576" s="3" t="s">
        <v>3885</v>
      </c>
      <c r="C2576" s="1" t="s">
        <v>4022</v>
      </c>
      <c r="D2576" s="1" t="s">
        <v>4397</v>
      </c>
      <c r="E2576" s="1" t="str">
        <f>"2320"</f>
        <v>2320</v>
      </c>
      <c r="F2576" s="1" t="str">
        <f>"015761809"</f>
        <v>015761809</v>
      </c>
      <c r="G2576" s="1" t="s">
        <v>1799</v>
      </c>
      <c r="H2576" s="1" t="s">
        <v>15</v>
      </c>
      <c r="I2576" s="3" t="str">
        <f>"1"</f>
        <v>1</v>
      </c>
      <c r="J2576" s="3" t="str">
        <f>"13600"</f>
        <v>13600</v>
      </c>
      <c r="K2576" s="2">
        <v>45808</v>
      </c>
      <c r="L2576" s="2">
        <v>45841</v>
      </c>
      <c r="M2576" s="1" t="s">
        <v>4396</v>
      </c>
      <c r="N2576" s="1" t="s">
        <v>4395</v>
      </c>
    </row>
    <row r="2577" spans="1:14" x14ac:dyDescent="0.35">
      <c r="A2577" s="1" t="s">
        <v>4321</v>
      </c>
      <c r="B2577" s="3" t="s">
        <v>2638</v>
      </c>
      <c r="C2577" s="1" t="s">
        <v>2662</v>
      </c>
      <c r="D2577" s="1" t="s">
        <v>4394</v>
      </c>
      <c r="E2577" s="1" t="str">
        <f>"5965"</f>
        <v>5965</v>
      </c>
      <c r="F2577" s="1" t="s">
        <v>2193</v>
      </c>
      <c r="G2577" s="1" t="s">
        <v>2194</v>
      </c>
      <c r="H2577" s="1" t="s">
        <v>15</v>
      </c>
      <c r="I2577" s="3" t="str">
        <f>"1"</f>
        <v>1</v>
      </c>
      <c r="J2577" s="3" t="str">
        <f>"1250"</f>
        <v>1250</v>
      </c>
      <c r="K2577" s="2">
        <v>45806</v>
      </c>
      <c r="L2577" s="2">
        <v>45841</v>
      </c>
      <c r="M2577" s="1" t="s">
        <v>4391</v>
      </c>
      <c r="N2577" s="1" t="s">
        <v>4393</v>
      </c>
    </row>
    <row r="2578" spans="1:14" x14ac:dyDescent="0.35">
      <c r="A2578" s="1" t="s">
        <v>4321</v>
      </c>
      <c r="B2578" s="3" t="s">
        <v>2638</v>
      </c>
      <c r="C2578" s="1" t="s">
        <v>2662</v>
      </c>
      <c r="D2578" s="1" t="s">
        <v>4392</v>
      </c>
      <c r="E2578" s="1" t="str">
        <f>"5965"</f>
        <v>5965</v>
      </c>
      <c r="F2578" s="1" t="s">
        <v>2193</v>
      </c>
      <c r="G2578" s="1" t="s">
        <v>2194</v>
      </c>
      <c r="H2578" s="1" t="s">
        <v>15</v>
      </c>
      <c r="I2578" s="3" t="str">
        <f>"1"</f>
        <v>1</v>
      </c>
      <c r="J2578" s="3" t="str">
        <f>"649"</f>
        <v>649</v>
      </c>
      <c r="K2578" s="2">
        <v>45806</v>
      </c>
      <c r="L2578" s="2">
        <v>45841</v>
      </c>
      <c r="M2578" s="1" t="s">
        <v>4391</v>
      </c>
      <c r="N2578" s="1" t="s">
        <v>4390</v>
      </c>
    </row>
    <row r="2579" spans="1:14" x14ac:dyDescent="0.35">
      <c r="A2579" s="1" t="s">
        <v>4321</v>
      </c>
      <c r="B2579" s="3" t="s">
        <v>2720</v>
      </c>
      <c r="C2579" s="1" t="s">
        <v>2897</v>
      </c>
      <c r="D2579" s="1" t="s">
        <v>4389</v>
      </c>
      <c r="E2579" s="1" t="str">
        <f>"2320"</f>
        <v>2320</v>
      </c>
      <c r="F2579" s="1" t="str">
        <f>"008562480"</f>
        <v>008562480</v>
      </c>
      <c r="G2579" s="1" t="s">
        <v>117</v>
      </c>
      <c r="H2579" s="1" t="s">
        <v>15</v>
      </c>
      <c r="I2579" s="3" t="str">
        <f>"1"</f>
        <v>1</v>
      </c>
      <c r="J2579" s="3" t="str">
        <f>"42940"</f>
        <v>42940</v>
      </c>
      <c r="K2579" s="2">
        <v>45840</v>
      </c>
      <c r="L2579" s="2">
        <v>45840</v>
      </c>
      <c r="M2579" s="1" t="s">
        <v>4388</v>
      </c>
      <c r="N2579" s="1" t="s">
        <v>4387</v>
      </c>
    </row>
    <row r="2580" spans="1:14" x14ac:dyDescent="0.35">
      <c r="A2580" s="1" t="s">
        <v>4321</v>
      </c>
      <c r="B2580" s="3" t="s">
        <v>3513</v>
      </c>
      <c r="C2580" s="1" t="s">
        <v>3672</v>
      </c>
      <c r="D2580" s="1" t="s">
        <v>4386</v>
      </c>
      <c r="E2580" s="1" t="str">
        <f>"8145"</f>
        <v>8145</v>
      </c>
      <c r="F2580" s="1" t="str">
        <f>"015917441"</f>
        <v>015917441</v>
      </c>
      <c r="G2580" s="1" t="s">
        <v>2304</v>
      </c>
      <c r="H2580" s="1" t="s">
        <v>15</v>
      </c>
      <c r="I2580" s="3" t="str">
        <f>"1"</f>
        <v>1</v>
      </c>
      <c r="J2580" s="3">
        <v>84914.92</v>
      </c>
      <c r="K2580" s="2">
        <v>45838</v>
      </c>
      <c r="L2580" s="2">
        <v>45840</v>
      </c>
      <c r="M2580" s="1" t="s">
        <v>4385</v>
      </c>
      <c r="N2580" s="1" t="s">
        <v>4343</v>
      </c>
    </row>
    <row r="2581" spans="1:14" x14ac:dyDescent="0.35">
      <c r="A2581" s="1" t="s">
        <v>4321</v>
      </c>
      <c r="B2581" s="3" t="s">
        <v>806</v>
      </c>
      <c r="C2581" s="1" t="s">
        <v>1079</v>
      </c>
      <c r="D2581" s="1" t="s">
        <v>4384</v>
      </c>
      <c r="E2581" s="1" t="str">
        <f>"5120"</f>
        <v>5120</v>
      </c>
      <c r="F2581" s="1" t="str">
        <f>"016045564"</f>
        <v>016045564</v>
      </c>
      <c r="G2581" s="1" t="s">
        <v>3166</v>
      </c>
      <c r="H2581" s="1" t="s">
        <v>15</v>
      </c>
      <c r="I2581" s="3" t="str">
        <f>"2"</f>
        <v>2</v>
      </c>
      <c r="J2581" s="3">
        <v>149.37</v>
      </c>
      <c r="K2581" s="2">
        <v>45831</v>
      </c>
      <c r="L2581" s="2">
        <v>45840</v>
      </c>
      <c r="M2581" s="1" t="s">
        <v>4383</v>
      </c>
      <c r="N2581" s="1" t="s">
        <v>4382</v>
      </c>
    </row>
    <row r="2582" spans="1:14" x14ac:dyDescent="0.35">
      <c r="A2582" s="1" t="s">
        <v>4321</v>
      </c>
      <c r="B2582" s="3" t="s">
        <v>1407</v>
      </c>
      <c r="C2582" s="1" t="s">
        <v>1408</v>
      </c>
      <c r="D2582" s="1" t="s">
        <v>4381</v>
      </c>
      <c r="E2582" s="1" t="str">
        <f>"3750"</f>
        <v>3750</v>
      </c>
      <c r="F2582" s="1" t="s">
        <v>4380</v>
      </c>
      <c r="G2582" s="1" t="s">
        <v>4379</v>
      </c>
      <c r="H2582" s="1" t="s">
        <v>15</v>
      </c>
      <c r="I2582" s="3" t="str">
        <f>"4"</f>
        <v>4</v>
      </c>
      <c r="J2582" s="3">
        <v>269.99</v>
      </c>
      <c r="K2582" s="2">
        <v>45821</v>
      </c>
      <c r="L2582" s="2">
        <v>45840</v>
      </c>
      <c r="N2582" s="1" t="s">
        <v>4378</v>
      </c>
    </row>
    <row r="2583" spans="1:14" x14ac:dyDescent="0.35">
      <c r="A2583" s="1" t="s">
        <v>4321</v>
      </c>
      <c r="B2583" s="3" t="s">
        <v>806</v>
      </c>
      <c r="C2583" s="1" t="s">
        <v>4375</v>
      </c>
      <c r="D2583" s="1" t="s">
        <v>4377</v>
      </c>
      <c r="E2583" s="1" t="str">
        <f>"6545"</f>
        <v>6545</v>
      </c>
      <c r="F2583" s="1" t="str">
        <f>"015748111"</f>
        <v>015748111</v>
      </c>
      <c r="G2583" s="1" t="s">
        <v>4373</v>
      </c>
      <c r="H2583" s="1" t="s">
        <v>15</v>
      </c>
      <c r="I2583" s="3" t="str">
        <f>"21"</f>
        <v>21</v>
      </c>
      <c r="J2583" s="3">
        <v>168.99</v>
      </c>
      <c r="K2583" s="2">
        <v>45839</v>
      </c>
      <c r="L2583" s="2">
        <v>45839</v>
      </c>
      <c r="M2583" s="1" t="s">
        <v>4372</v>
      </c>
      <c r="N2583" s="1" t="s">
        <v>4376</v>
      </c>
    </row>
    <row r="2584" spans="1:14" x14ac:dyDescent="0.35">
      <c r="A2584" s="1" t="s">
        <v>4321</v>
      </c>
      <c r="B2584" s="3" t="s">
        <v>806</v>
      </c>
      <c r="C2584" s="1" t="s">
        <v>4375</v>
      </c>
      <c r="D2584" s="1" t="s">
        <v>4377</v>
      </c>
      <c r="E2584" s="1" t="str">
        <f>"6545"</f>
        <v>6545</v>
      </c>
      <c r="F2584" s="1" t="str">
        <f>"015748111"</f>
        <v>015748111</v>
      </c>
      <c r="G2584" s="1" t="s">
        <v>4373</v>
      </c>
      <c r="H2584" s="1" t="s">
        <v>15</v>
      </c>
      <c r="I2584" s="3" t="str">
        <f>"21"</f>
        <v>21</v>
      </c>
      <c r="J2584" s="3">
        <v>168.99</v>
      </c>
      <c r="K2584" s="2">
        <v>45839</v>
      </c>
      <c r="L2584" s="2">
        <v>45839</v>
      </c>
      <c r="M2584" s="1" t="s">
        <v>4372</v>
      </c>
      <c r="N2584" s="1" t="s">
        <v>4376</v>
      </c>
    </row>
    <row r="2585" spans="1:14" x14ac:dyDescent="0.35">
      <c r="A2585" s="1" t="s">
        <v>4321</v>
      </c>
      <c r="B2585" s="3" t="s">
        <v>806</v>
      </c>
      <c r="C2585" s="1" t="s">
        <v>4375</v>
      </c>
      <c r="D2585" s="1" t="s">
        <v>4374</v>
      </c>
      <c r="E2585" s="1" t="str">
        <f>"6545"</f>
        <v>6545</v>
      </c>
      <c r="F2585" s="1" t="str">
        <f>"015748111"</f>
        <v>015748111</v>
      </c>
      <c r="G2585" s="1" t="s">
        <v>4373</v>
      </c>
      <c r="H2585" s="1" t="s">
        <v>15</v>
      </c>
      <c r="I2585" s="3" t="str">
        <f>"8"</f>
        <v>8</v>
      </c>
      <c r="J2585" s="3">
        <v>168.99</v>
      </c>
      <c r="K2585" s="2">
        <v>45839</v>
      </c>
      <c r="L2585" s="2">
        <v>45839</v>
      </c>
      <c r="M2585" s="1" t="s">
        <v>4372</v>
      </c>
      <c r="N2585" s="1" t="s">
        <v>4371</v>
      </c>
    </row>
    <row r="2586" spans="1:14" x14ac:dyDescent="0.35">
      <c r="A2586" s="1" t="s">
        <v>4321</v>
      </c>
      <c r="B2586" s="3" t="s">
        <v>806</v>
      </c>
      <c r="C2586" s="1" t="s">
        <v>4375</v>
      </c>
      <c r="D2586" s="1" t="s">
        <v>4374</v>
      </c>
      <c r="E2586" s="1" t="str">
        <f>"6545"</f>
        <v>6545</v>
      </c>
      <c r="F2586" s="1" t="str">
        <f>"015748111"</f>
        <v>015748111</v>
      </c>
      <c r="G2586" s="1" t="s">
        <v>4373</v>
      </c>
      <c r="H2586" s="1" t="s">
        <v>15</v>
      </c>
      <c r="I2586" s="3" t="str">
        <f>"8"</f>
        <v>8</v>
      </c>
      <c r="J2586" s="3">
        <v>168.99</v>
      </c>
      <c r="K2586" s="2">
        <v>45839</v>
      </c>
      <c r="L2586" s="2">
        <v>45839</v>
      </c>
      <c r="M2586" s="1" t="s">
        <v>4372</v>
      </c>
      <c r="N2586" s="1" t="s">
        <v>4371</v>
      </c>
    </row>
    <row r="2587" spans="1:14" x14ac:dyDescent="0.35">
      <c r="A2587" s="1" t="s">
        <v>4321</v>
      </c>
      <c r="B2587" s="3" t="s">
        <v>806</v>
      </c>
      <c r="C2587" s="1" t="s">
        <v>1079</v>
      </c>
      <c r="D2587" s="1" t="s">
        <v>4370</v>
      </c>
      <c r="E2587" s="1" t="str">
        <f>"8115"</f>
        <v>8115</v>
      </c>
      <c r="F2587" s="1" t="str">
        <f>"012417524"</f>
        <v>012417524</v>
      </c>
      <c r="G2587" s="1" t="s">
        <v>4368</v>
      </c>
      <c r="H2587" s="1" t="s">
        <v>15</v>
      </c>
      <c r="I2587" s="3" t="str">
        <f>"1"</f>
        <v>1</v>
      </c>
      <c r="J2587" s="3" t="str">
        <f>"5457"</f>
        <v>5457</v>
      </c>
      <c r="K2587" s="2">
        <v>45838</v>
      </c>
      <c r="L2587" s="2">
        <v>45839</v>
      </c>
      <c r="M2587" s="1" t="s">
        <v>4367</v>
      </c>
      <c r="N2587" s="1" t="s">
        <v>4343</v>
      </c>
    </row>
    <row r="2588" spans="1:14" x14ac:dyDescent="0.35">
      <c r="A2588" s="1" t="s">
        <v>4321</v>
      </c>
      <c r="B2588" s="3" t="s">
        <v>806</v>
      </c>
      <c r="C2588" s="1" t="s">
        <v>1079</v>
      </c>
      <c r="D2588" s="1" t="s">
        <v>4369</v>
      </c>
      <c r="E2588" s="1" t="str">
        <f>"8115"</f>
        <v>8115</v>
      </c>
      <c r="F2588" s="1" t="str">
        <f>"012417524"</f>
        <v>012417524</v>
      </c>
      <c r="G2588" s="1" t="s">
        <v>4368</v>
      </c>
      <c r="H2588" s="1" t="s">
        <v>15</v>
      </c>
      <c r="I2588" s="3" t="str">
        <f>"2"</f>
        <v>2</v>
      </c>
      <c r="J2588" s="3" t="str">
        <f>"5457"</f>
        <v>5457</v>
      </c>
      <c r="K2588" s="2">
        <v>45838</v>
      </c>
      <c r="L2588" s="2">
        <v>45839</v>
      </c>
      <c r="M2588" s="1" t="s">
        <v>4367</v>
      </c>
      <c r="N2588" s="1" t="s">
        <v>4343</v>
      </c>
    </row>
    <row r="2589" spans="1:14" x14ac:dyDescent="0.35">
      <c r="A2589" s="1" t="s">
        <v>4321</v>
      </c>
      <c r="B2589" s="3" t="s">
        <v>2720</v>
      </c>
      <c r="C2589" s="1" t="s">
        <v>2975</v>
      </c>
      <c r="D2589" s="1" t="s">
        <v>4366</v>
      </c>
      <c r="E2589" s="1" t="str">
        <f>"3805"</f>
        <v>3805</v>
      </c>
      <c r="F2589" s="1" t="s">
        <v>2913</v>
      </c>
      <c r="G2589" s="1" t="s">
        <v>2914</v>
      </c>
      <c r="H2589" s="1" t="s">
        <v>15</v>
      </c>
      <c r="I2589" s="3" t="str">
        <f>"1"</f>
        <v>1</v>
      </c>
      <c r="J2589" s="3" t="str">
        <f>"10000"</f>
        <v>10000</v>
      </c>
      <c r="K2589" s="2">
        <v>45838</v>
      </c>
      <c r="L2589" s="2">
        <v>45839</v>
      </c>
      <c r="M2589" s="1" t="s">
        <v>4365</v>
      </c>
      <c r="N2589" s="1" t="s">
        <v>4364</v>
      </c>
    </row>
    <row r="2590" spans="1:14" x14ac:dyDescent="0.35">
      <c r="A2590" s="1" t="s">
        <v>4321</v>
      </c>
      <c r="B2590" s="3" t="s">
        <v>1445</v>
      </c>
      <c r="C2590" s="1" t="s">
        <v>1459</v>
      </c>
      <c r="D2590" s="1" t="s">
        <v>4363</v>
      </c>
      <c r="E2590" s="1" t="str">
        <f>"6720"</f>
        <v>6720</v>
      </c>
      <c r="F2590" s="1" t="str">
        <f>"016497974"</f>
        <v>016497974</v>
      </c>
      <c r="G2590" s="1" t="s">
        <v>4362</v>
      </c>
      <c r="H2590" s="1" t="s">
        <v>19</v>
      </c>
      <c r="I2590" s="3" t="str">
        <f>"2"</f>
        <v>2</v>
      </c>
      <c r="J2590" s="3">
        <v>16699.84</v>
      </c>
      <c r="K2590" s="2">
        <v>45837</v>
      </c>
      <c r="L2590" s="2">
        <v>45839</v>
      </c>
      <c r="M2590" s="1" t="s">
        <v>1551</v>
      </c>
      <c r="N2590" s="1" t="s">
        <v>4343</v>
      </c>
    </row>
    <row r="2591" spans="1:14" x14ac:dyDescent="0.35">
      <c r="A2591" s="1" t="s">
        <v>4321</v>
      </c>
      <c r="B2591" s="3" t="s">
        <v>3183</v>
      </c>
      <c r="C2591" s="1" t="s">
        <v>3184</v>
      </c>
      <c r="D2591" s="1" t="s">
        <v>4361</v>
      </c>
      <c r="E2591" s="1" t="str">
        <f>"3805"</f>
        <v>3805</v>
      </c>
      <c r="F2591" s="1" t="s">
        <v>2913</v>
      </c>
      <c r="G2591" s="1" t="s">
        <v>2914</v>
      </c>
      <c r="H2591" s="1" t="s">
        <v>15</v>
      </c>
      <c r="I2591" s="3" t="str">
        <f>"1"</f>
        <v>1</v>
      </c>
      <c r="J2591" s="3" t="str">
        <f>"10000"</f>
        <v>10000</v>
      </c>
      <c r="K2591" s="2">
        <v>45836</v>
      </c>
      <c r="L2591" s="2">
        <v>45839</v>
      </c>
      <c r="M2591" s="1" t="s">
        <v>4360</v>
      </c>
      <c r="N2591" s="1" t="s">
        <v>4359</v>
      </c>
    </row>
    <row r="2592" spans="1:14" x14ac:dyDescent="0.35">
      <c r="A2592" s="1" t="s">
        <v>4321</v>
      </c>
      <c r="B2592" s="3" t="s">
        <v>2720</v>
      </c>
      <c r="C2592" s="1" t="s">
        <v>2770</v>
      </c>
      <c r="D2592" s="1" t="s">
        <v>4358</v>
      </c>
      <c r="E2592" s="1" t="str">
        <f>"3805"</f>
        <v>3805</v>
      </c>
      <c r="F2592" s="1" t="s">
        <v>2913</v>
      </c>
      <c r="G2592" s="1" t="s">
        <v>2914</v>
      </c>
      <c r="H2592" s="1" t="s">
        <v>15</v>
      </c>
      <c r="I2592" s="3" t="str">
        <f>"1"</f>
        <v>1</v>
      </c>
      <c r="J2592" s="3" t="str">
        <f>"10000"</f>
        <v>10000</v>
      </c>
      <c r="K2592" s="2">
        <v>45836</v>
      </c>
      <c r="L2592" s="2">
        <v>45839</v>
      </c>
      <c r="M2592" s="1" t="s">
        <v>4357</v>
      </c>
      <c r="N2592" s="1" t="s">
        <v>4356</v>
      </c>
    </row>
    <row r="2593" spans="1:14" x14ac:dyDescent="0.35">
      <c r="A2593" s="1" t="s">
        <v>4321</v>
      </c>
      <c r="B2593" s="3" t="s">
        <v>2145</v>
      </c>
      <c r="C2593" s="1" t="s">
        <v>2153</v>
      </c>
      <c r="D2593" s="1" t="s">
        <v>4355</v>
      </c>
      <c r="E2593" s="1" t="str">
        <f>"3805"</f>
        <v>3805</v>
      </c>
      <c r="F2593" s="1" t="s">
        <v>2913</v>
      </c>
      <c r="G2593" s="1" t="s">
        <v>2914</v>
      </c>
      <c r="H2593" s="1" t="s">
        <v>15</v>
      </c>
      <c r="I2593" s="3" t="str">
        <f>"1"</f>
        <v>1</v>
      </c>
      <c r="J2593" s="3" t="str">
        <f>"10000"</f>
        <v>10000</v>
      </c>
      <c r="K2593" s="2">
        <v>45836</v>
      </c>
      <c r="L2593" s="2">
        <v>45839</v>
      </c>
      <c r="M2593" s="1" t="s">
        <v>4354</v>
      </c>
      <c r="N2593" s="1" t="s">
        <v>4353</v>
      </c>
    </row>
    <row r="2594" spans="1:14" x14ac:dyDescent="0.35">
      <c r="A2594" s="1" t="s">
        <v>4321</v>
      </c>
      <c r="B2594" s="3" t="s">
        <v>93</v>
      </c>
      <c r="C2594" s="1" t="s">
        <v>312</v>
      </c>
      <c r="D2594" s="1" t="s">
        <v>4352</v>
      </c>
      <c r="E2594" s="1" t="str">
        <f>"3805"</f>
        <v>3805</v>
      </c>
      <c r="F2594" s="1" t="s">
        <v>2913</v>
      </c>
      <c r="G2594" s="1" t="s">
        <v>2914</v>
      </c>
      <c r="H2594" s="1" t="s">
        <v>15</v>
      </c>
      <c r="I2594" s="3" t="str">
        <f>"1"</f>
        <v>1</v>
      </c>
      <c r="J2594" s="3" t="str">
        <f>"10000"</f>
        <v>10000</v>
      </c>
      <c r="K2594" s="2">
        <v>45836</v>
      </c>
      <c r="L2594" s="2">
        <v>45839</v>
      </c>
      <c r="M2594" s="1" t="s">
        <v>4351</v>
      </c>
      <c r="N2594" s="1" t="s">
        <v>4343</v>
      </c>
    </row>
    <row r="2595" spans="1:14" x14ac:dyDescent="0.35">
      <c r="A2595" s="1" t="s">
        <v>4321</v>
      </c>
      <c r="B2595" s="3" t="s">
        <v>2720</v>
      </c>
      <c r="C2595" s="1" t="s">
        <v>2876</v>
      </c>
      <c r="D2595" s="1" t="s">
        <v>4350</v>
      </c>
      <c r="E2595" s="1" t="str">
        <f>"3805"</f>
        <v>3805</v>
      </c>
      <c r="F2595" s="1" t="s">
        <v>2913</v>
      </c>
      <c r="G2595" s="1" t="s">
        <v>2914</v>
      </c>
      <c r="H2595" s="1" t="s">
        <v>15</v>
      </c>
      <c r="I2595" s="3" t="str">
        <f>"1"</f>
        <v>1</v>
      </c>
      <c r="J2595" s="3" t="str">
        <f>"10000"</f>
        <v>10000</v>
      </c>
      <c r="K2595" s="2">
        <v>45836</v>
      </c>
      <c r="L2595" s="2">
        <v>45839</v>
      </c>
      <c r="M2595" s="1" t="s">
        <v>4349</v>
      </c>
      <c r="N2595" s="1" t="s">
        <v>4348</v>
      </c>
    </row>
    <row r="2596" spans="1:14" x14ac:dyDescent="0.35">
      <c r="A2596" s="1" t="s">
        <v>4321</v>
      </c>
      <c r="B2596" s="3" t="s">
        <v>601</v>
      </c>
      <c r="C2596" s="1" t="s">
        <v>667</v>
      </c>
      <c r="D2596" s="1" t="s">
        <v>4347</v>
      </c>
      <c r="E2596" s="1" t="str">
        <f>"3805"</f>
        <v>3805</v>
      </c>
      <c r="F2596" s="1" t="s">
        <v>2913</v>
      </c>
      <c r="G2596" s="1" t="s">
        <v>2914</v>
      </c>
      <c r="H2596" s="1" t="s">
        <v>15</v>
      </c>
      <c r="I2596" s="3" t="str">
        <f>"1"</f>
        <v>1</v>
      </c>
      <c r="J2596" s="3" t="str">
        <f>"10000"</f>
        <v>10000</v>
      </c>
      <c r="K2596" s="2">
        <v>45836</v>
      </c>
      <c r="L2596" s="2">
        <v>45839</v>
      </c>
      <c r="M2596" s="1" t="s">
        <v>4346</v>
      </c>
      <c r="N2596" s="1" t="s">
        <v>4343</v>
      </c>
    </row>
    <row r="2597" spans="1:14" x14ac:dyDescent="0.35">
      <c r="A2597" s="1" t="s">
        <v>4321</v>
      </c>
      <c r="B2597" s="3" t="s">
        <v>3885</v>
      </c>
      <c r="C2597" s="1" t="s">
        <v>4022</v>
      </c>
      <c r="D2597" s="1" t="s">
        <v>4345</v>
      </c>
      <c r="E2597" s="1" t="str">
        <f>"3805"</f>
        <v>3805</v>
      </c>
      <c r="F2597" s="1" t="s">
        <v>2913</v>
      </c>
      <c r="G2597" s="1" t="s">
        <v>2914</v>
      </c>
      <c r="H2597" s="1" t="s">
        <v>15</v>
      </c>
      <c r="I2597" s="3" t="str">
        <f>"1"</f>
        <v>1</v>
      </c>
      <c r="J2597" s="3" t="str">
        <f>"10000"</f>
        <v>10000</v>
      </c>
      <c r="K2597" s="2">
        <v>45836</v>
      </c>
      <c r="L2597" s="2">
        <v>45839</v>
      </c>
      <c r="M2597" s="1" t="s">
        <v>4344</v>
      </c>
      <c r="N2597" s="1" t="s">
        <v>4343</v>
      </c>
    </row>
    <row r="2598" spans="1:14" x14ac:dyDescent="0.35">
      <c r="A2598" s="1" t="s">
        <v>4321</v>
      </c>
      <c r="B2598" s="3" t="s">
        <v>2720</v>
      </c>
      <c r="C2598" s="1" t="s">
        <v>2897</v>
      </c>
      <c r="D2598" s="1" t="s">
        <v>4342</v>
      </c>
      <c r="E2598" s="1" t="str">
        <f>"7830"</f>
        <v>7830</v>
      </c>
      <c r="F2598" s="1" t="s">
        <v>4341</v>
      </c>
      <c r="G2598" s="1" t="s">
        <v>4340</v>
      </c>
      <c r="H2598" s="1" t="s">
        <v>15</v>
      </c>
      <c r="I2598" s="3" t="str">
        <f>"1"</f>
        <v>1</v>
      </c>
      <c r="J2598" s="3" t="str">
        <f>"14499"</f>
        <v>14499</v>
      </c>
      <c r="K2598" s="2">
        <v>45825</v>
      </c>
      <c r="L2598" s="2">
        <v>45839</v>
      </c>
      <c r="M2598" s="1" t="s">
        <v>4339</v>
      </c>
      <c r="N2598" s="1" t="s">
        <v>4338</v>
      </c>
    </row>
    <row r="2599" spans="1:14" x14ac:dyDescent="0.35">
      <c r="A2599" s="1" t="s">
        <v>4321</v>
      </c>
      <c r="B2599" s="3" t="s">
        <v>3513</v>
      </c>
      <c r="C2599" s="1" t="s">
        <v>3874</v>
      </c>
      <c r="D2599" s="1" t="s">
        <v>4337</v>
      </c>
      <c r="E2599" s="1" t="str">
        <f>"2320"</f>
        <v>2320</v>
      </c>
      <c r="F2599" s="1" t="s">
        <v>321</v>
      </c>
      <c r="G2599" s="1" t="s">
        <v>322</v>
      </c>
      <c r="H2599" s="1" t="s">
        <v>15</v>
      </c>
      <c r="I2599" s="3" t="str">
        <f>"1"</f>
        <v>1</v>
      </c>
      <c r="J2599" s="3" t="str">
        <f>"19500"</f>
        <v>19500</v>
      </c>
      <c r="K2599" s="2">
        <v>45815</v>
      </c>
      <c r="L2599" s="2">
        <v>45839</v>
      </c>
      <c r="M2599" s="1" t="s">
        <v>4336</v>
      </c>
      <c r="N2599" s="1" t="s">
        <v>4335</v>
      </c>
    </row>
    <row r="2600" spans="1:14" x14ac:dyDescent="0.35">
      <c r="A2600" s="1" t="s">
        <v>4321</v>
      </c>
      <c r="B2600" s="3" t="s">
        <v>2000</v>
      </c>
      <c r="C2600" s="1" t="s">
        <v>2051</v>
      </c>
      <c r="D2600" s="1" t="s">
        <v>4334</v>
      </c>
      <c r="E2600" s="1" t="str">
        <f>"5895"</f>
        <v>5895</v>
      </c>
      <c r="F2600" s="1" t="str">
        <f>"015984531"</f>
        <v>015984531</v>
      </c>
      <c r="G2600" s="1" t="s">
        <v>2099</v>
      </c>
      <c r="H2600" s="1" t="s">
        <v>19</v>
      </c>
      <c r="I2600" s="3" t="str">
        <f>"9"</f>
        <v>9</v>
      </c>
      <c r="J2600" s="3">
        <v>763.74</v>
      </c>
      <c r="K2600" s="2">
        <v>45808</v>
      </c>
      <c r="L2600" s="2">
        <v>45839</v>
      </c>
      <c r="M2600" s="1" t="s">
        <v>4333</v>
      </c>
      <c r="N2600" s="1" t="s">
        <v>4332</v>
      </c>
    </row>
    <row r="2601" spans="1:14" x14ac:dyDescent="0.35">
      <c r="A2601" s="1" t="s">
        <v>4321</v>
      </c>
      <c r="B2601" s="3" t="s">
        <v>93</v>
      </c>
      <c r="C2601" s="1" t="s">
        <v>450</v>
      </c>
      <c r="D2601" s="1" t="s">
        <v>4331</v>
      </c>
      <c r="E2601" s="1" t="str">
        <f>"3805"</f>
        <v>3805</v>
      </c>
      <c r="F2601" s="1" t="str">
        <f>"005023614"</f>
        <v>005023614</v>
      </c>
      <c r="G2601" s="1" t="s">
        <v>587</v>
      </c>
      <c r="H2601" s="1" t="s">
        <v>15</v>
      </c>
      <c r="I2601" s="3" t="str">
        <f>"1"</f>
        <v>1</v>
      </c>
      <c r="J2601" s="3" t="str">
        <f>"52279"</f>
        <v>52279</v>
      </c>
      <c r="K2601" s="2">
        <v>45796</v>
      </c>
      <c r="L2601" s="2">
        <v>45839</v>
      </c>
      <c r="M2601" s="1" t="s">
        <v>4330</v>
      </c>
      <c r="N2601" s="1" t="s">
        <v>4329</v>
      </c>
    </row>
    <row r="2602" spans="1:14" x14ac:dyDescent="0.35">
      <c r="A2602" s="1" t="s">
        <v>4321</v>
      </c>
      <c r="B2602" s="3" t="s">
        <v>4087</v>
      </c>
      <c r="C2602" s="1" t="s">
        <v>4121</v>
      </c>
      <c r="D2602" s="1" t="s">
        <v>4328</v>
      </c>
      <c r="E2602" s="1" t="str">
        <f>"6140"</f>
        <v>6140</v>
      </c>
      <c r="F2602" s="1" t="str">
        <f>"014904316"</f>
        <v>014904316</v>
      </c>
      <c r="G2602" s="1" t="s">
        <v>4327</v>
      </c>
      <c r="H2602" s="1" t="s">
        <v>15</v>
      </c>
      <c r="I2602" s="3" t="str">
        <f>"10"</f>
        <v>10</v>
      </c>
      <c r="J2602" s="3">
        <v>225.12</v>
      </c>
      <c r="K2602" s="2">
        <v>45732</v>
      </c>
      <c r="L2602" s="2">
        <v>45839</v>
      </c>
      <c r="M2602" s="1" t="s">
        <v>4326</v>
      </c>
      <c r="N2602" s="1" t="s">
        <v>4325</v>
      </c>
    </row>
    <row r="2603" spans="1:14" x14ac:dyDescent="0.35">
      <c r="A2603" s="1" t="s">
        <v>4321</v>
      </c>
      <c r="B2603" s="3" t="s">
        <v>3183</v>
      </c>
      <c r="C2603" s="1" t="s">
        <v>3422</v>
      </c>
      <c r="D2603" s="1" t="s">
        <v>4324</v>
      </c>
      <c r="E2603" s="1" t="str">
        <f>"1940"</f>
        <v>1940</v>
      </c>
      <c r="F2603" s="1" t="str">
        <f>"012493936"</f>
        <v>012493936</v>
      </c>
      <c r="G2603" s="1" t="s">
        <v>2263</v>
      </c>
      <c r="H2603" s="1" t="s">
        <v>15</v>
      </c>
      <c r="I2603" s="3" t="str">
        <f>"1"</f>
        <v>1</v>
      </c>
      <c r="J2603" s="3" t="str">
        <f>"5135"</f>
        <v>5135</v>
      </c>
      <c r="K2603" s="2">
        <v>45724</v>
      </c>
      <c r="L2603" s="2">
        <v>45839</v>
      </c>
      <c r="M2603" s="1" t="s">
        <v>4323</v>
      </c>
      <c r="N2603" s="1" t="s">
        <v>4322</v>
      </c>
    </row>
    <row r="2604" spans="1:14" x14ac:dyDescent="0.35">
      <c r="A2604" s="1" t="s">
        <v>4321</v>
      </c>
      <c r="B2604" s="3" t="s">
        <v>3183</v>
      </c>
      <c r="C2604" s="1" t="s">
        <v>3331</v>
      </c>
      <c r="D2604" s="1" t="s">
        <v>4320</v>
      </c>
      <c r="E2604" s="1" t="str">
        <f>"6680"</f>
        <v>6680</v>
      </c>
      <c r="F2604" s="1" t="str">
        <f>"004007292"</f>
        <v>004007292</v>
      </c>
      <c r="G2604" s="1" t="s">
        <v>4319</v>
      </c>
      <c r="H2604" s="1" t="s">
        <v>15</v>
      </c>
      <c r="I2604" s="3" t="str">
        <f>"1"</f>
        <v>1</v>
      </c>
      <c r="J2604" s="3">
        <v>3369.6</v>
      </c>
      <c r="K2604" s="2">
        <v>45714</v>
      </c>
      <c r="L2604" s="2">
        <v>45839</v>
      </c>
      <c r="M2604" s="1" t="s">
        <v>4318</v>
      </c>
      <c r="N2604" s="1" t="s">
        <v>4317</v>
      </c>
    </row>
    <row r="2605" spans="1:14" x14ac:dyDescent="0.35">
      <c r="A2605" s="1" t="s">
        <v>4316</v>
      </c>
      <c r="B2605" s="3" t="s">
        <v>2720</v>
      </c>
      <c r="C2605" s="1" t="s">
        <v>2740</v>
      </c>
      <c r="D2605" s="1" t="s">
        <v>4315</v>
      </c>
      <c r="E2605" s="1" t="str">
        <f>"7010"</f>
        <v>7010</v>
      </c>
      <c r="F2605" s="1" t="str">
        <f>"016501067"</f>
        <v>016501067</v>
      </c>
      <c r="G2605" s="1" t="s">
        <v>1984</v>
      </c>
      <c r="H2605" s="1" t="s">
        <v>15</v>
      </c>
      <c r="I2605" s="3" t="str">
        <f>"1"</f>
        <v>1</v>
      </c>
      <c r="J2605" s="3" t="str">
        <f>"2961"</f>
        <v>2961</v>
      </c>
      <c r="K2605" s="2">
        <v>45881</v>
      </c>
      <c r="L2605" s="2">
        <v>45894</v>
      </c>
      <c r="M2605" s="1" t="s">
        <v>4314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LESO ALL SHIPMENTS</vt:lpstr>
      <vt:lpstr>LESO CANCELLATIONS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 Michael James CIV DLA DISPOSITION SERVICES (USA)</dc:creator>
  <cp:lastModifiedBy>Wood, Michael James CIV DLA DISPOSITION SERVICES (USA)</cp:lastModifiedBy>
  <dcterms:created xsi:type="dcterms:W3CDTF">2025-11-17T13:47:08Z</dcterms:created>
  <dcterms:modified xsi:type="dcterms:W3CDTF">2025-11-17T13:52:16Z</dcterms:modified>
</cp:coreProperties>
</file>